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65506" windowWidth="12120" windowHeight="6600" tabRatio="601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0a" sheetId="11" r:id="rId11"/>
    <sheet name="11" sheetId="12" r:id="rId12"/>
    <sheet name="12" sheetId="13" r:id="rId13"/>
    <sheet name="13" sheetId="14" r:id="rId14"/>
    <sheet name="táj.1." sheetId="15" r:id="rId15"/>
    <sheet name="táj.2." sheetId="16" r:id="rId16"/>
  </sheets>
  <definedNames>
    <definedName name="_xlnm.Print_Titles" localSheetId="11">'11'!$1:$2</definedName>
    <definedName name="_xlnm.Print_Titles" localSheetId="12">'12'!$1:$2</definedName>
    <definedName name="_xlnm.Print_Titles" localSheetId="2">'3'!$1:$2</definedName>
    <definedName name="_xlnm.Print_Titles" localSheetId="5">'6'!$1:$2</definedName>
    <definedName name="_xlnm.Print_Titles" localSheetId="6">'7'!$1:$2</definedName>
    <definedName name="_xlnm.Print_Titles" localSheetId="7">'8'!$1:$3</definedName>
    <definedName name="_xlnm.Print_Titles" localSheetId="8">'9'!$1:$3</definedName>
    <definedName name="_xlnm.Print_Titles" localSheetId="14">'táj.1.'!$1:$2</definedName>
    <definedName name="_xlnm.Print_Titles" localSheetId="15">'táj.2.'!$1:$1</definedName>
    <definedName name="_xlnm.Print_Area" localSheetId="12">'12'!$A$1:$P$179</definedName>
    <definedName name="_xlnm.Print_Area" localSheetId="2">'3'!$A$1:$J$140</definedName>
    <definedName name="_xlnm.Print_Area" localSheetId="6">'7'!$A$1:$O$137</definedName>
  </definedNames>
  <calcPr fullCalcOnLoad="1"/>
</workbook>
</file>

<file path=xl/sharedStrings.xml><?xml version="1.0" encoding="utf-8"?>
<sst xmlns="http://schemas.openxmlformats.org/spreadsheetml/2006/main" count="2140" uniqueCount="1248">
  <si>
    <t xml:space="preserve">            -  Képző-iparművészet                                                       </t>
  </si>
  <si>
    <t xml:space="preserve">5. Kollégiumi ellátás                                                            </t>
  </si>
  <si>
    <t>6. Hozzájárulások egyéb közoktatási szakmai  feladatokhoz</t>
  </si>
  <si>
    <t xml:space="preserve">     - általános iskolai napközis foglalkozás 1-4. évfolyam </t>
  </si>
  <si>
    <t xml:space="preserve">     - általános iskolai napközis foglalkozás 5-8. évfolyam  </t>
  </si>
  <si>
    <t xml:space="preserve">      - napközi 1-3. évfoly.iskolaotthonos oktatás    </t>
  </si>
  <si>
    <t xml:space="preserve">     - kéttanítási nyelvű oktatás                   </t>
  </si>
  <si>
    <t xml:space="preserve">      - nyelvi előkészítő évfolyamon tanulók              </t>
  </si>
  <si>
    <t xml:space="preserve"> - Városfejlesztő Zrt. jutaléka</t>
  </si>
  <si>
    <t xml:space="preserve"> - csapadékcsatorna hálózat szakági nyilvántartás</t>
  </si>
  <si>
    <t xml:space="preserve"> - Egészség Kártya bevezetése</t>
  </si>
  <si>
    <t xml:space="preserve"> - műszaki ellenőrzések és hatósági díjak</t>
  </si>
  <si>
    <t xml:space="preserve"> - Közbiztonsági feladatok Ügyrendi, Jogi és vagyonnyilatkozatot Ellenőrző Biz. átruházott hatáskörében</t>
  </si>
  <si>
    <t xml:space="preserve"> Városi Rendőrkapitányság Ady u. felöli kapu automatizálása</t>
  </si>
  <si>
    <t xml:space="preserve"> - 2011. évi normatív állami hj. Elszámolása</t>
  </si>
  <si>
    <t xml:space="preserve"> -  pénzmaradvány terhére történő elvonás intézmények befizetése</t>
  </si>
  <si>
    <t>4./44</t>
  </si>
  <si>
    <t>Flórián u. burkolat felújítás</t>
  </si>
  <si>
    <t xml:space="preserve"> - Megyei Jogú Városok Szöv.tagdíj</t>
  </si>
  <si>
    <t>7.Szociális juttatások, egyéb szolgáltatások</t>
  </si>
  <si>
    <t>8. Hozzájárulások egyes közoktatási intézményeket fenntartó önk. feladatellátásához</t>
  </si>
  <si>
    <t xml:space="preserve">      - középiskolában bejáró tanulók           </t>
  </si>
  <si>
    <t xml:space="preserve">      - középszintű érettségi vizsga lebonyolítása</t>
  </si>
  <si>
    <t xml:space="preserve">      - szakmai vizsga lebonyolítása</t>
  </si>
  <si>
    <t>Oktatáshoz kapcsolódó jogcímek összesen:</t>
  </si>
  <si>
    <t>9.   Települési  önk.üzemeltetési,igazgatási, sport- és kulturális fa.</t>
  </si>
  <si>
    <t>10. Lakott külterülettel kapcsolatos feladatok</t>
  </si>
  <si>
    <t>842155 Önkormányzatok m.n.s.nemzetközi kapcsolatai</t>
  </si>
  <si>
    <t xml:space="preserve"> - Nemzetközi kapcsolatokra</t>
  </si>
  <si>
    <t>882203 Köztemetés</t>
  </si>
  <si>
    <t>11. Lakossági települési folyékony hull.ártalmatlanítás tám.</t>
  </si>
  <si>
    <t>12. Körzeti igazgatási feladatok</t>
  </si>
  <si>
    <t xml:space="preserve">    - gyámügyi  feladatokra</t>
  </si>
  <si>
    <t xml:space="preserve">    -  építéshatósági feladatokra</t>
  </si>
  <si>
    <t>56+7729/döntés</t>
  </si>
  <si>
    <t xml:space="preserve">   - okmányirodák működési kiad.</t>
  </si>
  <si>
    <t>13.Pénzbeni és természetbeni szociális és gyermekjól.ell.</t>
  </si>
  <si>
    <t>14. Szociális és gyermekjóléti alapszolgáltatás feladatai</t>
  </si>
  <si>
    <t xml:space="preserve">    - szociális étkeztetés</t>
  </si>
  <si>
    <t xml:space="preserve">    - házi segítségnyújtás</t>
  </si>
  <si>
    <t xml:space="preserve">     - időskorúak nappali intézményi  ellátása</t>
  </si>
  <si>
    <t xml:space="preserve">     - pszichiátria és szenvedélybetegek, hajléktalanok nappali int.ellátása</t>
  </si>
  <si>
    <t xml:space="preserve">     - demens személyek nappali ellátása</t>
  </si>
  <si>
    <t xml:space="preserve"> -  Gyermekjóléti Központ speciális szolgáltatásai</t>
  </si>
  <si>
    <t xml:space="preserve"> </t>
  </si>
  <si>
    <t xml:space="preserve">15. Szociális és gyermekvédelmi bentlakásos és átmeneti elhelyezés </t>
  </si>
  <si>
    <t xml:space="preserve"> - Átlagos ápolást, gondozást nyújtó ellátás bentlakásos  elhelyezést nyújtó intézményben már bentlévők </t>
  </si>
  <si>
    <t xml:space="preserve"> - Átmeneti elhelyezést nyújtó ellátás </t>
  </si>
  <si>
    <t xml:space="preserve"> - helyettes szülői </t>
  </si>
  <si>
    <t>Fokozott ellátást nyújtó szolgáltatás</t>
  </si>
  <si>
    <t xml:space="preserve">  - demens betegek bentlakásos intézményi ellátása</t>
  </si>
  <si>
    <t>853000 Középfokú okt.intézményeinek, programjainak komplex támogatása</t>
  </si>
  <si>
    <t xml:space="preserve"> -  Emelt színvonalú ellátás</t>
  </si>
  <si>
    <t>16. Bölcsődei ellátás</t>
  </si>
  <si>
    <t>17. Üdülőhelyi feladatok</t>
  </si>
  <si>
    <t>Összesen:</t>
  </si>
  <si>
    <t>18. Normatív, kötött felhasználású támogatások</t>
  </si>
  <si>
    <t>Kiegészítő támogatás egyes közoktatási feladatokhoz</t>
  </si>
  <si>
    <t xml:space="preserve">  18.1. Pedagógiai szakszolgálat</t>
  </si>
  <si>
    <t xml:space="preserve">  18.2. Pedagógus továbbképzés támogatása</t>
  </si>
  <si>
    <t xml:space="preserve">  18.3.a, osztályfőnöki pótlék kiegészítése</t>
  </si>
  <si>
    <t xml:space="preserve">  18.3.b, gyógypedagógiai pótlék kiegészítése</t>
  </si>
  <si>
    <t xml:space="preserve">  18.4.Szociális juttatások, egyéb szolgáltatások</t>
  </si>
  <si>
    <t xml:space="preserve">     - normatív kedvezményezett (50 %-os) étkeztetésben részesülők </t>
  </si>
  <si>
    <t xml:space="preserve">     - óvodai ingyenes étkeztetésben részesülők</t>
  </si>
  <si>
    <t xml:space="preserve">     - 1-8.évfoly. ingyenes étkeztetésben részesülők </t>
  </si>
  <si>
    <t xml:space="preserve">    - tanulók ingyenes tankönyvellátásának  támogatása</t>
  </si>
  <si>
    <t xml:space="preserve">   18.5. Szakmai, tanügyigazgatási  informatikai feladatok támogatása</t>
  </si>
  <si>
    <t>Egyes szociális feladatok támogatása</t>
  </si>
  <si>
    <t xml:space="preserve">    18.6.  Szociális továbbképzés és szakvizsga támogatása</t>
  </si>
  <si>
    <t xml:space="preserve">    18.7.  Ingyenes bölcsődei étkezés</t>
  </si>
  <si>
    <t>Normatív, kötött felhasználású  támogatások összesen:</t>
  </si>
  <si>
    <t>Normatív állami hozzájárulás : (Tűzoltóság és Hevesi S. Színház nélkül)</t>
  </si>
  <si>
    <t>SZJA bevétel egyenes arányban ( 8%)</t>
  </si>
  <si>
    <t>Normatív állami hozzájárulás és SZJA bevétel: (Tűzoltóság  és Hevesi S. Színház nélkül)</t>
  </si>
  <si>
    <t>Tűzoltóság támogatása</t>
  </si>
  <si>
    <t>Hevesi Sándor Színház és Griff Bábszínház állami támogatása</t>
  </si>
  <si>
    <t>Zalai Táncegyüttes Egyesület állami támogatása</t>
  </si>
  <si>
    <t>Mindösszesen:</t>
  </si>
  <si>
    <t>2012. évi bevétel eredeti ei.</t>
  </si>
  <si>
    <t>2012. évi bevétel módosított ei.</t>
  </si>
  <si>
    <t>Módosítás
döntési
hatáskör
szerint *</t>
  </si>
  <si>
    <t>Városüzemelési feladatok összesen:</t>
  </si>
  <si>
    <t>Felhalmo- zási és felújítási célra</t>
  </si>
  <si>
    <t>Kiadások összesen</t>
  </si>
  <si>
    <t>Építéshatósági feladatok</t>
  </si>
  <si>
    <t>Polgármesteri Iroda kiadásai</t>
  </si>
  <si>
    <t>Sportfeladatok működési kiadásai</t>
  </si>
  <si>
    <t xml:space="preserve">             GESZ</t>
  </si>
  <si>
    <t xml:space="preserve">            GESZ</t>
  </si>
  <si>
    <t>Városi Kollégium</t>
  </si>
  <si>
    <t>Pénze.átad. és egyéb műk. tám.</t>
  </si>
  <si>
    <t>Pénze.átad. és egyéb felhalm tám.</t>
  </si>
  <si>
    <t>Polgármesteri iroda</t>
  </si>
  <si>
    <t>Polgármesteri iroda összesen</t>
  </si>
  <si>
    <t>Apáczai Csere János ÁMK</t>
  </si>
  <si>
    <t xml:space="preserve"> Városi Középiskolai Kollégium</t>
  </si>
  <si>
    <t>1./4</t>
  </si>
  <si>
    <t>1./5</t>
  </si>
  <si>
    <t>1./6</t>
  </si>
  <si>
    <t>Középfokú oktatás és koll. összesen:</t>
  </si>
  <si>
    <t>Apáczai  Csere János ÁMK</t>
  </si>
  <si>
    <t>Középfokú oktatás  és koll.összesen:</t>
  </si>
  <si>
    <t xml:space="preserve">          Tourinform Iroda</t>
  </si>
  <si>
    <t>4./16</t>
  </si>
  <si>
    <t>4./17</t>
  </si>
  <si>
    <t>4./18</t>
  </si>
  <si>
    <t>4./19</t>
  </si>
  <si>
    <t>4./20</t>
  </si>
  <si>
    <t>4./21</t>
  </si>
  <si>
    <t>4./22</t>
  </si>
  <si>
    <t>4./23</t>
  </si>
  <si>
    <t>4./24</t>
  </si>
  <si>
    <t xml:space="preserve">Keresztury Dezső ÁMK </t>
  </si>
  <si>
    <t xml:space="preserve">          Általános Művelődési Központ</t>
  </si>
  <si>
    <t xml:space="preserve">               Griff Bábszínház</t>
  </si>
  <si>
    <t xml:space="preserve">  ebből : Hevesi Sándor Színház</t>
  </si>
  <si>
    <t>1./1</t>
  </si>
  <si>
    <t>1./2</t>
  </si>
  <si>
    <t>1./3</t>
  </si>
  <si>
    <t>2.</t>
  </si>
  <si>
    <t>2./1</t>
  </si>
  <si>
    <t>3.</t>
  </si>
  <si>
    <t>Polgármesteri Iroda működési kiadásai összesen:</t>
  </si>
  <si>
    <t>4.</t>
  </si>
  <si>
    <t>5.</t>
  </si>
  <si>
    <t>6.</t>
  </si>
  <si>
    <t>3./1</t>
  </si>
  <si>
    <t>3./2</t>
  </si>
  <si>
    <t>Út-járda parkoló beruházások</t>
  </si>
  <si>
    <t xml:space="preserve">*-fal jelezett fejlesztési feladatok megvalósításához hitelfelvétel szükséges. </t>
  </si>
  <si>
    <t xml:space="preserve">*-gal jelezett felújítási feladatok megvalósításához hitelfelvétel szükséges. </t>
  </si>
  <si>
    <t>4./1</t>
  </si>
  <si>
    <t>4./2</t>
  </si>
  <si>
    <t>4./3</t>
  </si>
  <si>
    <t>4./4</t>
  </si>
  <si>
    <t>4./5</t>
  </si>
  <si>
    <t>4./6</t>
  </si>
  <si>
    <t>4./7</t>
  </si>
  <si>
    <t>4./8</t>
  </si>
  <si>
    <t>4./9</t>
  </si>
  <si>
    <t>4./10</t>
  </si>
  <si>
    <t>4./11</t>
  </si>
  <si>
    <t>4./12</t>
  </si>
  <si>
    <t>4./13</t>
  </si>
  <si>
    <t>4./14</t>
  </si>
  <si>
    <t>4./15</t>
  </si>
  <si>
    <t>5./1</t>
  </si>
  <si>
    <t>5./2</t>
  </si>
  <si>
    <t>5./3</t>
  </si>
  <si>
    <t>5./4</t>
  </si>
  <si>
    <t>5./5</t>
  </si>
  <si>
    <t>5./6</t>
  </si>
  <si>
    <t>5./7</t>
  </si>
  <si>
    <t>5./8</t>
  </si>
  <si>
    <t xml:space="preserve"> - Felújítási kiadások</t>
  </si>
  <si>
    <t>Ganz Á. és Munkácsy Mihály Szakközépiskola és Szakiskola</t>
  </si>
  <si>
    <t>Városi Középiskolai Kollégium</t>
  </si>
  <si>
    <t>890509 Egyéb m.n.s.közösségi, társadalmi tev.támogatása</t>
  </si>
  <si>
    <t>Teskándi út csapadékvíz elvezetés tervezése</t>
  </si>
  <si>
    <t>1./15</t>
  </si>
  <si>
    <t>4.a/10</t>
  </si>
  <si>
    <t>Egyes jövedelempótló támogatások</t>
  </si>
  <si>
    <t>Központosított támogatások</t>
  </si>
  <si>
    <t>Működési célú kiadás összesen:</t>
  </si>
  <si>
    <t>3./3</t>
  </si>
  <si>
    <t xml:space="preserve">Céltartalék </t>
  </si>
  <si>
    <t>6./1</t>
  </si>
  <si>
    <t>6./2</t>
  </si>
  <si>
    <t>6./3</t>
  </si>
  <si>
    <t>7.</t>
  </si>
  <si>
    <t>8.</t>
  </si>
  <si>
    <t>Köztemető</t>
  </si>
  <si>
    <t>9.</t>
  </si>
  <si>
    <t>Egyéb feladatok</t>
  </si>
  <si>
    <t>9./1</t>
  </si>
  <si>
    <t>9./2</t>
  </si>
  <si>
    <t>9./3</t>
  </si>
  <si>
    <t>9./4</t>
  </si>
  <si>
    <t>Jogi és igazgatási feladatok</t>
  </si>
  <si>
    <t>Kertvárosi Általános Iskola</t>
  </si>
  <si>
    <t>Megnevezés</t>
  </si>
  <si>
    <t>Cím              szám</t>
  </si>
  <si>
    <t>Alcím                    szám</t>
  </si>
  <si>
    <t>Int. műk. bev.</t>
  </si>
  <si>
    <t>Önkorm. sajátos műk. bev.</t>
  </si>
  <si>
    <t>Felhalmozás és tőkejell.</t>
  </si>
  <si>
    <t>Önkorm. ktgvet. tám.</t>
  </si>
  <si>
    <t>Tb. alapból</t>
  </si>
  <si>
    <t>Műk.               célra</t>
  </si>
  <si>
    <t>Felhalm célra</t>
  </si>
  <si>
    <t>Hitelek ért. papírok kölcsönök</t>
  </si>
  <si>
    <t>Pénzforg. nélküli</t>
  </si>
  <si>
    <t>Összesen</t>
  </si>
  <si>
    <t>Polgármesteri Hivatal</t>
  </si>
  <si>
    <t>Városüzemelési feladatok</t>
  </si>
  <si>
    <t>Városüzemelés összesen:</t>
  </si>
  <si>
    <t>Vagyonkezelési feladatok</t>
  </si>
  <si>
    <t>Pénzügyi lebonyolítás</t>
  </si>
  <si>
    <t>Pénzügyi lebonyolítás összesen:</t>
  </si>
  <si>
    <t>Önállóan gazdálkodó intézmények</t>
  </si>
  <si>
    <t>Pénzeszköz átadás</t>
  </si>
  <si>
    <t>Felhalm. célú kiad.</t>
  </si>
  <si>
    <t>Cím szám</t>
  </si>
  <si>
    <t>Alcím szám</t>
  </si>
  <si>
    <t>Személyi jell. kiad.</t>
  </si>
  <si>
    <t>Munkaadót terhelő járulék</t>
  </si>
  <si>
    <t>Dologi jellegű kiadás</t>
  </si>
  <si>
    <t>Működési célra</t>
  </si>
  <si>
    <t>Városfejlesztési, Üzemeltetési és Tervezési Bizottság átruházott hatáskörében felosztható keret</t>
  </si>
  <si>
    <t>Oktatási, Kulturális és Sport Bizottság átruházott hatáskörében felosztható keret</t>
  </si>
  <si>
    <t>Felhal- mozási és felújítási célra</t>
  </si>
  <si>
    <t>Ellátottak pénzbeni juttatásai</t>
  </si>
  <si>
    <t>Felújítási kiadások</t>
  </si>
  <si>
    <t>Beruház. kiadások</t>
  </si>
  <si>
    <t>Pénzforga- lom nélküli kiadások</t>
  </si>
  <si>
    <t>Fejlesztési kiadások</t>
  </si>
  <si>
    <t>Landorhegyi u. 31. szám alatti felnőtt háziorvosi rendelők átalakítása, rekonstrukciója</t>
  </si>
  <si>
    <t>Kinizsi u. 105. szám alatti gyermekorvosi rendelő</t>
  </si>
  <si>
    <t>Gazdaság u. 21. szám alatti felnőtt háziorvosi rendelő</t>
  </si>
  <si>
    <t>Ságodi óvoda kerítés javítása</t>
  </si>
  <si>
    <t>Stadion mögötti füves labdarúgó pályák gyep rekultiváció, ápolás és öntözés</t>
  </si>
  <si>
    <t xml:space="preserve">Páterdombi utca részleges felújítása </t>
  </si>
  <si>
    <t>Balesetveszélyes tereplépcsők, járdák felújítása</t>
  </si>
  <si>
    <t>Belvárosi járdák felújítása</t>
  </si>
  <si>
    <t>Kosztolányi tér járda és zöldfelület felújítások</t>
  </si>
  <si>
    <t>Páterdomb városrész járdafelújítások</t>
  </si>
  <si>
    <t>Május 1. liget lépcső felújítás</t>
  </si>
  <si>
    <t>Hegyalja u. 7. lépcső felújítása</t>
  </si>
  <si>
    <t>Olajmunkás utca elején járdafelújítás</t>
  </si>
  <si>
    <t>Göcseji Pataki u. páros oldal parkoló aszfaltozása</t>
  </si>
  <si>
    <t>Köztársaság 74-80. D-i oldali lépcsők felújítása</t>
  </si>
  <si>
    <t>Hegyalja u. 11-13. parkoló burkolatfelújítás, Hegyalja 9-11. között betonlapos gyalogjárda felújítás</t>
  </si>
  <si>
    <t>6.) Hitel felvétel</t>
  </si>
  <si>
    <t>7.) Előző évek pénzmaradványa</t>
  </si>
  <si>
    <t>Posta út melletti telephelyek  szennyvízelvezetése</t>
  </si>
  <si>
    <t>Teskándi út Vadhűtőház előtti szakaszán járda tervezés</t>
  </si>
  <si>
    <t>Népjóléti feladatok:</t>
  </si>
  <si>
    <t>Működési kiadás összesen:</t>
  </si>
  <si>
    <t>Felújítási kiadások:</t>
  </si>
  <si>
    <t>Fejlesztési kiadások:</t>
  </si>
  <si>
    <t>Népjóléti ágazat kiadásai összesen:</t>
  </si>
  <si>
    <t>Oktatási - kulturális feladatok:</t>
  </si>
  <si>
    <t>Hitelek é.papírok,kölcsönök kiadása</t>
  </si>
  <si>
    <t>saját</t>
  </si>
  <si>
    <t>átvett pe.</t>
  </si>
  <si>
    <t>Támogatásértékű bevétel</t>
  </si>
  <si>
    <t>Intézm.működési bevétel</t>
  </si>
  <si>
    <t>Felhalm-i és tőkejellegű bev.</t>
  </si>
  <si>
    <t>Belvárosrehabilitáció II.ütem területrendezés lakásalapból 52/2010. Kgy.hat. alapján</t>
  </si>
  <si>
    <t>Vagyonkezelési felad. összesen:</t>
  </si>
  <si>
    <t>Felhalm-i és tőkejellegű</t>
  </si>
  <si>
    <t>Intézm.műk. bevétel</t>
  </si>
  <si>
    <t xml:space="preserve">Páterdombi  Szakképző  Iskola </t>
  </si>
  <si>
    <t xml:space="preserve">Páterdombi Szakképző Iskola </t>
  </si>
  <si>
    <t>Szennyvízberuházások és csapadékcsatornák</t>
  </si>
  <si>
    <t>Felhal-mozási célra</t>
  </si>
  <si>
    <t xml:space="preserve">2012. évi eredeti előirányzat </t>
  </si>
  <si>
    <t>Cseperedő Bölcsőde bejáratának akadálymentesítése</t>
  </si>
  <si>
    <t>Napsugár úti Bölcsőde balesetveszélyes szakipari falak cseréje, üvegtéglafalak javítása II. ütem</t>
  </si>
  <si>
    <t>Napsugár úti Bölcsőde kazánházi rekonstrukció</t>
  </si>
  <si>
    <t xml:space="preserve">Tipegő (Kis u.) Bölcsőde tetőszigetelés </t>
  </si>
  <si>
    <t>Kis utcai Bölcsőde kazánházi rekonstrukció pályázati önrész</t>
  </si>
  <si>
    <t>Landorhegyi u. 31.szám alatti felnőtt háziorvosi rendelő bútorozása</t>
  </si>
  <si>
    <t>Cseperedő bölcsőde fejlesztés</t>
  </si>
  <si>
    <t>2011. évről áthúzódó feladatok</t>
  </si>
  <si>
    <t xml:space="preserve"> - Göcseji- Mártírok u. csomópont korszerűsítés pályázati tám. NyDOP-4.3.1/C-09-2009-0001</t>
  </si>
  <si>
    <t>Polgármesteri hivatal fűtési rendszerébe klímaberendezés beszerelése</t>
  </si>
  <si>
    <t>Egyéb központi támogatás</t>
  </si>
  <si>
    <t xml:space="preserve">  1.7 Egyéb központi támogatás </t>
  </si>
  <si>
    <t>Módosítás összege az I-II. negyedévben</t>
  </si>
  <si>
    <t>Módosítás      az I-II.névben</t>
  </si>
  <si>
    <t>Körzeti orvosi rendelő építése Zalaegerszegen (Zárda u. orvosi rendelő áthelyezése) NYDOP-5.2.1/A-09-201-0017</t>
  </si>
  <si>
    <t xml:space="preserve"> Kis utcai tagóvoda melegítő konyha kialakítás</t>
  </si>
  <si>
    <t>Kis utcai tagóvoda udvari játéktárolók építése és új udvarrész rekonstrukciója</t>
  </si>
  <si>
    <t>Radnóti utcai Székhelyóvoda ablak és beltéri ajtók cseréje</t>
  </si>
  <si>
    <t>Ady E. Iskola udvar balesetveszélyes fedlapok, burkolat helyreállítás</t>
  </si>
  <si>
    <t>Belvárosi Dózsa Gy. iskola villámvédelmi rendszer kialakítása</t>
  </si>
  <si>
    <t>Kaffka Margit Tagkollégium villámvédelmi rendszer kialakítása</t>
  </si>
  <si>
    <t>Deák Ferenc Székhelyiskola villámvédelmi rendszer kialakítása</t>
  </si>
  <si>
    <t>Széchenyi I. Tagiskola villámvédelmi rendszer kialakítása</t>
  </si>
  <si>
    <t>Petőfi S. Általános Isk. sportpálya átépítés</t>
  </si>
  <si>
    <t>Kis utcai óvoda és bölcsőde udvar rendezése</t>
  </si>
  <si>
    <t>Bazitai óvoda udvari játékok telepítése</t>
  </si>
  <si>
    <t>Landorhegyi óvodában játszóeszközök beszerzése</t>
  </si>
  <si>
    <t>13.</t>
  </si>
  <si>
    <t>Városi Kollégiumban sportpálya rekonstrukció</t>
  </si>
  <si>
    <t>Ifjúság u. É.-i végének csapadékvízelvezetése</t>
  </si>
  <si>
    <t>Sas u .csapadékvízelvezetése</t>
  </si>
  <si>
    <t>Magánerős szennyvízcsatorna bekötések</t>
  </si>
  <si>
    <t>Gazdaság u. orvosi rendelő szennyvízelvezetés</t>
  </si>
  <si>
    <t>Csapadékvíz elvezetés Tüttő utca</t>
  </si>
  <si>
    <t>Zrínyi M. Gimnázium szennyvízelvezetés</t>
  </si>
  <si>
    <t>Ivóvíz beruházások</t>
  </si>
  <si>
    <t xml:space="preserve">Közvilágítás fejlesztése </t>
  </si>
  <si>
    <t>Közvilágítás fejlesztése Zalabesenyőben</t>
  </si>
  <si>
    <t>Madách u. 2-14.sz. társasházak előtti járda mellé 4 db lámpaoszlop kihelyezése</t>
  </si>
  <si>
    <t>Platán sor 18-36. mögötti garázssoron 4 db lámpaoszlop kihelyezése</t>
  </si>
  <si>
    <t>3./5</t>
  </si>
  <si>
    <t>Alkotmány u.2-6. mögötti garázssoron 4 db lámpaoszlop kihelyezése</t>
  </si>
  <si>
    <t>3./6</t>
  </si>
  <si>
    <t>Liliom és Tőzike utcák közvilágításának kiépítése</t>
  </si>
  <si>
    <t>3./7</t>
  </si>
  <si>
    <t>Csácsi hegyi közvilágítás</t>
  </si>
  <si>
    <t>3./8</t>
  </si>
  <si>
    <t>Erdőalja u. közvilágítás kiépítése</t>
  </si>
  <si>
    <t>3./9</t>
  </si>
  <si>
    <t>Ligetszépe u. közvilágítás kiépítése</t>
  </si>
  <si>
    <t>3./10</t>
  </si>
  <si>
    <t>Vakaroshegyi u. közvilágítás</t>
  </si>
  <si>
    <t>3.a/3</t>
  </si>
  <si>
    <t>Botfa Fejérhegyi u.köztéri világítás létesítése</t>
  </si>
  <si>
    <t>3.a/4</t>
  </si>
  <si>
    <t>Zalabesenyői templom megvilágítás kiépítése</t>
  </si>
  <si>
    <t>Gyimesi utcai garázsok előtti parkolóépítés I. ütem</t>
  </si>
  <si>
    <t xml:space="preserve">Landorhegyi u. 26-30. szemben parkoló építés </t>
  </si>
  <si>
    <t>Információs táblák pótlása, kihelyezése</t>
  </si>
  <si>
    <t>Meglévő gyalogos átkelőhelyek megvilágításának biztosítása</t>
  </si>
  <si>
    <t>Forgalom biztonsági berendezések építése</t>
  </si>
  <si>
    <t>Városi járdakapcsolatok akadálymentesítése</t>
  </si>
  <si>
    <t>Buszváró kihelyezése a Rózsás utcában</t>
  </si>
  <si>
    <t>Vizslaparki utca "kinyitása" a Platán sorra</t>
  </si>
  <si>
    <t>Platán sor 36-38. közti területen parkolóépítés</t>
  </si>
  <si>
    <t>Bartók B. u. 3 db fellépő sziget létesítése</t>
  </si>
  <si>
    <t>Ciklámen u.12.sz. előtt parkoló kialakítása</t>
  </si>
  <si>
    <t>Csácsi-hegy útkialakítás 20296 hrsz.</t>
  </si>
  <si>
    <t>Vakaroshegyi u. aszfaltozása</t>
  </si>
  <si>
    <t>Bíbor u.- Hock J.u. csomópont építése NYDOP-4.3.I/C 2-0--2010-0005</t>
  </si>
  <si>
    <t>Játszótér és park kialakítása Hatházán</t>
  </si>
  <si>
    <t>Vorhotán parkosítás, aszfaltos pálya környezetének rendbetétele</t>
  </si>
  <si>
    <t>Andráshida településrész virágosítása</t>
  </si>
  <si>
    <t>Szent András park fejlesztése</t>
  </si>
  <si>
    <t>Pózvai játszótér játszóeszközök beszerzése</t>
  </si>
  <si>
    <t>Kosztolányi tér sétány átépítése,zöldfelület rendezés</t>
  </si>
  <si>
    <t>Berzsenyi-Stadion utcai tömbbelsőben sétány építése, játszótéri kerítés folytatása, zöldfelület rendezés</t>
  </si>
  <si>
    <t>Bartók B. u. játszótér bővítése</t>
  </si>
  <si>
    <t>5./9</t>
  </si>
  <si>
    <t>Hegyalja u. 3-5. tömbbelsőben játszótér bővítése</t>
  </si>
  <si>
    <t>5./10</t>
  </si>
  <si>
    <t>Parkosítás, zöldfelület rendezés, játszótérbővítés Csácsban</t>
  </si>
  <si>
    <t>5./11</t>
  </si>
  <si>
    <t>Landorhegyi városrészben játszótéri eszközök, padok beszerzése</t>
  </si>
  <si>
    <t>5.a./1</t>
  </si>
  <si>
    <t>5.a./2</t>
  </si>
  <si>
    <t>5.a./3</t>
  </si>
  <si>
    <t>8./1</t>
  </si>
  <si>
    <t>Göcseji úti temető ravatalozó ajtó cseréje</t>
  </si>
  <si>
    <t>8./2</t>
  </si>
  <si>
    <t>Göcseji úti temető közvilágítás</t>
  </si>
  <si>
    <t>Beszerzésekhez szükséges egyszerű műszaki tervdokumentációk elkészítése, műszaki ellenőrzések és egyéb hatósági díjak</t>
  </si>
  <si>
    <t>Zsinagóga önálló fűtési rendszer kialakítása</t>
  </si>
  <si>
    <t>9./5</t>
  </si>
  <si>
    <t>Ökováros program egyéb kiadások</t>
  </si>
  <si>
    <t>9./6</t>
  </si>
  <si>
    <t>Andráshidán nyugdíjas klub kapu készítés</t>
  </si>
  <si>
    <t>9./7</t>
  </si>
  <si>
    <t>Közösségi tér fejlesztése Páterdombon</t>
  </si>
  <si>
    <t>9./8</t>
  </si>
  <si>
    <t>Közösségi tér fejlesztése Zalabesenyőben</t>
  </si>
  <si>
    <t>9./9</t>
  </si>
  <si>
    <t>Közösségi tér fejlesztése Botfán</t>
  </si>
  <si>
    <t>9./10</t>
  </si>
  <si>
    <t>Közterületi kamerák elhelyezése</t>
  </si>
  <si>
    <t>Domb utca kereszt elkészítése</t>
  </si>
  <si>
    <t>Mező u. csapadékvízelvezetése II. ütem</t>
  </si>
  <si>
    <t>Rákóczi F. u. útátadással összefüggő járdaépítés és csapadékvízelvezetés (76-os út átvétele) rekonstrukció (közbeszerzés)</t>
  </si>
  <si>
    <t>Budai völgyi u. szennyvízelvezetés</t>
  </si>
  <si>
    <t>Nyíres u. csapadékvíz-elvezetése III. ütem</t>
  </si>
  <si>
    <t>Alkotmány u. 6 körüli csapadékvíz-elvezetés</t>
  </si>
  <si>
    <t>Jedlik Á. u. 2-6 előtti csapadékvíz-elvezetés (mederlapok)</t>
  </si>
  <si>
    <t>Kölcsey u. csapadékcsatorna rekonstrukció</t>
  </si>
  <si>
    <t>Csapadékvíz elvezetések, vízrendezések tervezése</t>
  </si>
  <si>
    <t>Gébárt Tóstrand vizesblokk, öltöző építés, szennyvízbekötések</t>
  </si>
  <si>
    <t>Göcseji u. kerékpárút melletti csapadékcsatorna rekonstrukció(Göcseji u.15-Platán sorig)</t>
  </si>
  <si>
    <t xml:space="preserve">Vorhotán Újhegyi u. járdaépítés és kapcsolódó árok zárttá tétele </t>
  </si>
  <si>
    <t>Páterdomb vízelvezetés fejl. előkészítő tanulmány</t>
  </si>
  <si>
    <t>Ságodi Ipartelep ivóvízellátás</t>
  </si>
  <si>
    <t>Hock J. u. ivóvízkiváltás (közbeszerzés)</t>
  </si>
  <si>
    <t>2./3</t>
  </si>
  <si>
    <t>Csácsi hegy nyomásövezetek összekötése</t>
  </si>
  <si>
    <t>2./4</t>
  </si>
  <si>
    <t>Fenyő u. útépítés + közművesítés II. ütem</t>
  </si>
  <si>
    <t>Fenyő u. korszerűsítés, burkolatszélesítés, vízi közmű fejlesztés</t>
  </si>
  <si>
    <t>Október 6. tér és Kis utcai parkoló közötti átkötő szakaszon járdaépítés</t>
  </si>
  <si>
    <t>Balesetveszélyes csomópontok átépítése</t>
  </si>
  <si>
    <t xml:space="preserve">Kossuth u. forgalommentesítés előkészítése, továbbtervezés </t>
  </si>
  <si>
    <t>Kossuth u. forgalommentesítés megvalósítás I. ütem</t>
  </si>
  <si>
    <t>Zrínyi u. kerékpárúthoz területvásárlás, kisajáítítás</t>
  </si>
  <si>
    <t>Sas u. - Jánkahegy útcsatlakozás kiépítése</t>
  </si>
  <si>
    <t>Mátyás Király utcai orvosi rendelő járulékos út és járdaépítések (útjavítás, csapadékvíz, vízvezeték kiáltás)</t>
  </si>
  <si>
    <t>Gárdonyi G. u. felújítása</t>
  </si>
  <si>
    <t>Petőfi S.Iskola mögötti tömbbelsőben parkolóépítés</t>
  </si>
  <si>
    <t>Mező u. lakótelkek infrastrukturális fejlesztése</t>
  </si>
  <si>
    <t>Előtervezésekből 2011. évről áthúzódó feladatok</t>
  </si>
  <si>
    <t>Fenyő u. korszerűsítés, burkolat szélesítés tervezése</t>
  </si>
  <si>
    <t>Polgármesteri Hivatal előtti tér téralakítási megvalósíthatósági tanulmányterve</t>
  </si>
  <si>
    <t>Jákum u. csapadékvíz rekonstrukció (Belvárosrehab. elkerülő úthoz kapcs.)</t>
  </si>
  <si>
    <t>Belvárosrehabilitáció II.ütemének előkészítő munkái, többletfeladatok, eseményvezérelt kiadások</t>
  </si>
  <si>
    <t xml:space="preserve">Területszerzés Inkubátorház bővítéshez </t>
  </si>
  <si>
    <t xml:space="preserve"> - Városrehab-hoz kapcsolódó projektköltségekre</t>
  </si>
  <si>
    <t xml:space="preserve">Körzeti megbízotti iroda céljára ingatlan vásárlás </t>
  </si>
  <si>
    <t>Tanuszoda költségvetés árazás</t>
  </si>
  <si>
    <t>Városi Strand szabadtéri medence szakvélemény</t>
  </si>
  <si>
    <t>0788/73 hrsz-ú (Ságod) és a 3092/A/36 hrsz-ú (Kossuth L.u. 21-23.II/36.) ingatlanok adásvétele 257/2011. kgy hat. alaján</t>
  </si>
  <si>
    <t>7.a./1</t>
  </si>
  <si>
    <t>"Szennyezés lokalizációja települési szilárd hulladék-lerakók területén " KEOP-7.2.4.0/B/10-2010-0007 (Buslakpuszta)</t>
  </si>
  <si>
    <t>Gébárti új termálkútba kútfej ép., bekötővezeték, elekt. ellátás</t>
  </si>
  <si>
    <t>Öveges ÁMK óvoda-bővítés</t>
  </si>
  <si>
    <t>Gördeszkapálya megvalósítása</t>
  </si>
  <si>
    <t>ÖKOVÁROS projekt</t>
  </si>
  <si>
    <t>Látványcsapatsport Kosárlabda önrész</t>
  </si>
  <si>
    <t>Egyéb projektek előkészítése, tervezése</t>
  </si>
  <si>
    <t>Közbeszerzésekhez, pályázatokhoz szükséges tervek</t>
  </si>
  <si>
    <t>Bio-hőerőmű megvalósíthatósági tanulmány</t>
  </si>
  <si>
    <t>Városrehabilitációra, valamint lakóövezetbe sorolt építési telek kialakítása Lakásalapból</t>
  </si>
  <si>
    <t>Zalavíz Zrt. részvény vásárlás</t>
  </si>
  <si>
    <t>1.a./1</t>
  </si>
  <si>
    <t>1.a./2</t>
  </si>
  <si>
    <t>1.a./3</t>
  </si>
  <si>
    <t>Rendszámfelismerő szoftver beszerzése</t>
  </si>
  <si>
    <t>Református Egyház részére orgona építésére pe.átadás</t>
  </si>
  <si>
    <t>Zala Volán Zrt. részére fejlesztési célú támogatás</t>
  </si>
  <si>
    <t xml:space="preserve">Pályázati önrész </t>
  </si>
  <si>
    <t>Cím    szám</t>
  </si>
  <si>
    <t>2012. évi eredeti ei.</t>
  </si>
  <si>
    <t xml:space="preserve">Hite-lek, </t>
  </si>
  <si>
    <t>ér-ték-papírok bevét.</t>
  </si>
  <si>
    <t>Al-cím   szám</t>
  </si>
  <si>
    <t>Hi-te-lek</t>
  </si>
  <si>
    <t xml:space="preserve"> - központosított támogatások</t>
  </si>
  <si>
    <t>Oktatási - kulturális feladatok működési kiadásai:</t>
  </si>
  <si>
    <t>Felhalmozás</t>
  </si>
  <si>
    <t>Oktatási-kulturális feladatok összesen:</t>
  </si>
  <si>
    <t>Sport feladatok</t>
  </si>
  <si>
    <t>Felhalmozási kiadások</t>
  </si>
  <si>
    <t>Sportfeladatok összesen:</t>
  </si>
  <si>
    <t>Városüzemelési  feladatok:</t>
  </si>
  <si>
    <t>Városüzemelési működési kiadásai</t>
  </si>
  <si>
    <t>Városüzemelési kiadások összesen:</t>
  </si>
  <si>
    <t>Városépítészeti feladatok:</t>
  </si>
  <si>
    <t xml:space="preserve"> - 2011. évi pénzmaradvány igénybevétele áthúzódó feladatokhoz</t>
  </si>
  <si>
    <t>3./11</t>
  </si>
  <si>
    <t>Közműfejlesztési hozzájárulás (állami)</t>
  </si>
  <si>
    <t xml:space="preserve"> -  2012. évi közösségi, művészeti pályázatok</t>
  </si>
  <si>
    <t xml:space="preserve">         2012. évi közösségi, művészeti pályázatok</t>
  </si>
  <si>
    <t>841335 Foglalkoztatást elősegítő támogatások</t>
  </si>
  <si>
    <t xml:space="preserve"> - Egyéb szervezetek támogatása</t>
  </si>
  <si>
    <t>Városépítészet összesen:</t>
  </si>
  <si>
    <t>Felújítás</t>
  </si>
  <si>
    <t>Vagyonkezelési feladatok összesen:</t>
  </si>
  <si>
    <t>Jogi és igazgatási feladatok összesen:</t>
  </si>
  <si>
    <t>Pénzügyi lebonyolítás:</t>
  </si>
  <si>
    <t>6.1.a/2</t>
  </si>
  <si>
    <t>6.1.a/3</t>
  </si>
  <si>
    <t>Széchenyi tér 4-6. sz. társasház részére pénzeszköz átadás</t>
  </si>
  <si>
    <t>Pénzügyi lebonyolítás és kp-i  összesen:</t>
  </si>
  <si>
    <t>Céltartalék</t>
  </si>
  <si>
    <t xml:space="preserve"> - ZTE KK. Kft. támogatás és átvállalt hitel és kamata</t>
  </si>
  <si>
    <t xml:space="preserve"> - verseny-és élsport</t>
  </si>
  <si>
    <t>Iskola utcában műfüves pálya építéséhez önrész biztosítása</t>
  </si>
  <si>
    <t>Sportcsarnok mellett két műfüves pálya építéséhez önrész biztosítása</t>
  </si>
  <si>
    <t>841403 Város- és községgazdálkodási m.n.s. szolgáltatások</t>
  </si>
  <si>
    <t>841403 Város-,községgazdálkodási m.n.s. szolgáltatások</t>
  </si>
  <si>
    <t>841403 Város-, községgazdálkodási m.n.s. szolgáltatások</t>
  </si>
  <si>
    <t xml:space="preserve"> - Bazitai fesztivál támogatása</t>
  </si>
  <si>
    <t xml:space="preserve"> - Ebergényi fesztivál támogatása</t>
  </si>
  <si>
    <t>Kodály utcai óvodaudvar felújítása</t>
  </si>
  <si>
    <t xml:space="preserve">kgy </t>
  </si>
  <si>
    <t xml:space="preserve"> - Vorhota kültéri padok beszerzése</t>
  </si>
  <si>
    <t xml:space="preserve"> Vorhotai LSC részére pe. átadás sportpálya kerítésépítés és fenntartás</t>
  </si>
  <si>
    <t>Izsák ÁMK karbantartás, eszközbeszerzés és belső tér átalakítása</t>
  </si>
  <si>
    <t>Kvártélyház Kft. részére támogatása eszközfejlesztési pályázat önrészéhez</t>
  </si>
  <si>
    <t>2012. évi létszám keret ei.</t>
  </si>
  <si>
    <t>2012. évi létszám keret  ei.</t>
  </si>
  <si>
    <t>Céltartalék összesen:</t>
  </si>
  <si>
    <t>Tartalék összesen:</t>
  </si>
  <si>
    <t>Önkormányzat összesen:</t>
  </si>
  <si>
    <t>*</t>
  </si>
  <si>
    <t>841906 Finanszírozási műveletek</t>
  </si>
  <si>
    <t xml:space="preserve"> - Fejlesztési célú hitel felvétel  2010. évi 451,367 millió Ft-os hitelkeretből</t>
  </si>
  <si>
    <t>Gyimesi Lajos Fogyatékkal Élők nappali int. bentlakásos ellátás</t>
  </si>
  <si>
    <t>Út-járda, parkoló felújítások</t>
  </si>
  <si>
    <t>Egyéb  felújítások</t>
  </si>
  <si>
    <t>Módosítás
döntési
hatáskör
szerint **</t>
  </si>
  <si>
    <t>Cím                    szám</t>
  </si>
  <si>
    <t>Alcím                   szám</t>
  </si>
  <si>
    <t>Intézm. műk.bev.</t>
  </si>
  <si>
    <t>TB. alaptól átvett pe.</t>
  </si>
  <si>
    <t>Működ. célra</t>
  </si>
  <si>
    <t>Felhalm. célra</t>
  </si>
  <si>
    <t>Hitelek, ért. pap. és kölcsönök</t>
  </si>
  <si>
    <t>Pénzforg. nélk. bevét.</t>
  </si>
  <si>
    <t>Népjóléti feladatok</t>
  </si>
  <si>
    <t>Oktatási kult. feladatok</t>
  </si>
  <si>
    <t>Sportfeladatok</t>
  </si>
  <si>
    <t>Városépítési feladatok</t>
  </si>
  <si>
    <t>Jogi és közig. feladatok</t>
  </si>
  <si>
    <t>Oktatási - kulturális feladatok</t>
  </si>
  <si>
    <t>Városépítészeti feladatok</t>
  </si>
  <si>
    <t>Cím- szám</t>
  </si>
  <si>
    <t>Alcím- szám</t>
  </si>
  <si>
    <t>Sor-                              szám</t>
  </si>
  <si>
    <t>Feladat megnevezése</t>
  </si>
  <si>
    <t>Beruházási célú kiadás</t>
  </si>
  <si>
    <t>Beruházási célú pénzeszk. átadás</t>
  </si>
  <si>
    <t>Összes beruh.. célú kiadás</t>
  </si>
  <si>
    <t>Oktatási - kulturális feladatok összesen:</t>
  </si>
  <si>
    <t>Városépítészeti feladatok összesen:</t>
  </si>
  <si>
    <t>Cím  szám</t>
  </si>
  <si>
    <t>Alcím-          szám</t>
  </si>
  <si>
    <t>Sor-                     szám</t>
  </si>
  <si>
    <t>Felújítási cél megnevezése</t>
  </si>
  <si>
    <t>Felújítási célú kiad.</t>
  </si>
  <si>
    <t>Felúj. célú pénzeszk. átad.</t>
  </si>
  <si>
    <t>Felújítás összesen</t>
  </si>
  <si>
    <t>Oktatási-kulturális feladatok</t>
  </si>
  <si>
    <t>Vagyonkezelés összesen:</t>
  </si>
  <si>
    <t>Cím-    szám</t>
  </si>
  <si>
    <t>Alcím   szám</t>
  </si>
  <si>
    <t>Munkaadót       terhelő járulékok</t>
  </si>
  <si>
    <t>Dologi kiadások</t>
  </si>
  <si>
    <t>Ellátottak juttatása</t>
  </si>
  <si>
    <t>Felhalm. kiadás</t>
  </si>
  <si>
    <t>Ktgv-i kiad. összesen</t>
  </si>
  <si>
    <t>Béke Ligeti Ált. Isk.</t>
  </si>
  <si>
    <t>Pálóczi H. Á. Alapfokú Műv. Okt. Int.</t>
  </si>
  <si>
    <t>Egészségügyi Intézmények GESZ</t>
  </si>
  <si>
    <t>Izsák I. ÁMK.</t>
  </si>
  <si>
    <t>Öveges J. ÁMK.</t>
  </si>
  <si>
    <t>Alapfokú okt. összesen:</t>
  </si>
  <si>
    <t>Kölcsey F. Gimnázium</t>
  </si>
  <si>
    <t>Zrínyi M. Gimnázium</t>
  </si>
  <si>
    <t>Csány L. Közgazd. SZKI</t>
  </si>
  <si>
    <t>Isk. és kollégiumok össz.</t>
  </si>
  <si>
    <t>ebből: Egyesített Bölcsődék</t>
  </si>
  <si>
    <t xml:space="preserve">          Családsegítő Szolg.</t>
  </si>
  <si>
    <t xml:space="preserve">          Egészségügyi Alapell.</t>
  </si>
  <si>
    <t>Gondozási Központ</t>
  </si>
  <si>
    <t>Óvodai GESZ</t>
  </si>
  <si>
    <t>ebből: József A. Könyvtár</t>
  </si>
  <si>
    <t>Családi Intézet</t>
  </si>
  <si>
    <t>Városi Sportlét. Gondn.</t>
  </si>
  <si>
    <t>Vásárcsarnok</t>
  </si>
  <si>
    <t>Önkorm.</t>
  </si>
  <si>
    <t xml:space="preserve">TB. </t>
  </si>
  <si>
    <t>Pénzforg.</t>
  </si>
  <si>
    <t>Ktgv-i</t>
  </si>
  <si>
    <t>2.) Működési  célú pénzeszköz átvétel államháztartáson kívülről</t>
  </si>
  <si>
    <t>3.) Támogatásértékű működési bevételek</t>
  </si>
  <si>
    <t>4.) Átengedett bevételek</t>
  </si>
  <si>
    <t>5.) Állami hozzájárulás, támogatás</t>
  </si>
  <si>
    <t>6.) Egészségbiztosítási Alaptól  átvett pe.</t>
  </si>
  <si>
    <t>2.) Felhalmozási célú pénzeszköz átvétel államháztartáson kívülről</t>
  </si>
  <si>
    <t>3.) Támogatásértékű felhalmozási bevételek</t>
  </si>
  <si>
    <t>5.) Kölcsönök visszatérülése,igénybevétele</t>
  </si>
  <si>
    <t xml:space="preserve">7.) Hitel- és kölcsön törlesztések </t>
  </si>
  <si>
    <t>882118 Kiegészítő gyemekvédelmi támogatás</t>
  </si>
  <si>
    <t>889935 Otthonteremtési támogatás</t>
  </si>
  <si>
    <t>856099 Egyéb oktatást kiegészítő tevékenység</t>
  </si>
  <si>
    <t xml:space="preserve">Vagyonkezelési feladatok </t>
  </si>
  <si>
    <t>Vagyonkezelési feladatok műk. kiadásai</t>
  </si>
  <si>
    <t>1./8</t>
  </si>
  <si>
    <t>1./9</t>
  </si>
  <si>
    <t>Zala jobb parti városrész csapadékvíz elvezető hálózat  rekonstrukciója, azonosító kód: NYDOP-4.1./1-B-2008-0016</t>
  </si>
  <si>
    <t>2./2</t>
  </si>
  <si>
    <t>Ivóvíz üzembiztonság javító beruházások</t>
  </si>
  <si>
    <t>Magánerős ivóvíz bekötések</t>
  </si>
  <si>
    <t>Landorhegyi Ált. Isk., Sportiskola</t>
  </si>
  <si>
    <t>Idősek Otthona lízingdíj</t>
  </si>
  <si>
    <t>Deák SZKI  műfüves pálya befejezése</t>
  </si>
  <si>
    <t>Kis u.óvoda -bölcsőde épületenergetikai audit készítés, pályázat megvalósíthatósági tanulmány előkészítésére</t>
  </si>
  <si>
    <t>Mikes K. u.óvoda épületenergetikai audit készítés, pályázat megvalósíthatósági tanulmány előkészítésére</t>
  </si>
  <si>
    <t>Landorhegyi u.óvoda -bölcsőde épületenergetikai audit készítés, pályázat megvalósíthatósági tanulmány előkészítésére</t>
  </si>
  <si>
    <t>Intézményi fejlesztések előkészítési munkái (tervezési, bonyolítási és műszaki ellenőrzési díjak)</t>
  </si>
  <si>
    <t xml:space="preserve">Zalaegerszegi iskolák informatikai infrastrukturájának fejlesztése TIOP-1.1.1-07/1-2008-1022 </t>
  </si>
  <si>
    <t xml:space="preserve"> Kis u. tagóvoda fejlesztése NYDOP-5.3.1/B-09-2010-0008</t>
  </si>
  <si>
    <t>Zalabesenyő aszfaltos pálya mellett ülőhelyek kialakítása</t>
  </si>
  <si>
    <t>76-os út átvételéhez kapcsolódó csapadékcsatorna rekonstrukciók (Rákóczi út)</t>
  </si>
  <si>
    <t>Béke utca csapadékcsatorna építése</t>
  </si>
  <si>
    <t>1./11</t>
  </si>
  <si>
    <t>1./12</t>
  </si>
  <si>
    <t>Ságod városrészben csapadékvíz elvezetése</t>
  </si>
  <si>
    <t>1./13</t>
  </si>
  <si>
    <t>1./14</t>
  </si>
  <si>
    <t>Z-1-2. jelű csapadékcsatorna átépítése (Bíbor utca-Hock J. u. csomópont)</t>
  </si>
  <si>
    <t>Kaszaházi telekalakítás csapadékvíz befogadó építése</t>
  </si>
  <si>
    <t>Projekt előkészítések, tervezések</t>
  </si>
  <si>
    <t>Botfa köztéri világítás korszerűsítés</t>
  </si>
  <si>
    <t>Zalabesenyő köztéri világítás korszerűsítés</t>
  </si>
  <si>
    <t>3./4</t>
  </si>
  <si>
    <t xml:space="preserve"> - Pedagógiai innováció és szakmai programok</t>
  </si>
  <si>
    <t>890216 Önkorm-i ifjúsági kezdeményezések és programok, valamint támogatásuk</t>
  </si>
  <si>
    <t>931201 Versenysport-tevékenység és támogatása</t>
  </si>
  <si>
    <t>931204 Iskolai, diáksport-tevékenység és támogatása</t>
  </si>
  <si>
    <t>813000 Zöldfelület kezelés</t>
  </si>
  <si>
    <t>Gorkij u. - Göcseji u. jobbra kanyarodó sáv kialakítási munkái pályázati önrész</t>
  </si>
  <si>
    <t>Alsóerdei út középsziget és gyalogátkelő kialakítása pályázati önrész</t>
  </si>
  <si>
    <t>Borostyán út rézsű támfal építéstervezés, kivitelezés</t>
  </si>
  <si>
    <t>Gazdaság utcában iskolához buszmegálló kialakítása</t>
  </si>
  <si>
    <t>2012. évi  eredeti előirányzat</t>
  </si>
  <si>
    <t>2012. évi  módosított előirányzat</t>
  </si>
  <si>
    <t>2012. évi eredeti előirányzat</t>
  </si>
  <si>
    <t>2012. évi módosított előirányzat</t>
  </si>
  <si>
    <t xml:space="preserve">  1.6 Zalai Táncegyüttes Egyesület támogatása</t>
  </si>
  <si>
    <t>1. Felhalmozási célú hitel felvétele</t>
  </si>
  <si>
    <t>Önkormányzat</t>
  </si>
  <si>
    <t>Költségvetési szervek</t>
  </si>
  <si>
    <t>Közhatalmi bevételek</t>
  </si>
  <si>
    <t>Felhalmozási bevételek</t>
  </si>
  <si>
    <t>felhalm.célú átvett pe.</t>
  </si>
  <si>
    <t xml:space="preserve">Önkormányzat </t>
  </si>
  <si>
    <t xml:space="preserve">Önkormányzat összesen költségvetési szervek nélkül </t>
  </si>
  <si>
    <t>Költségvetési szerv megnevezése</t>
  </si>
  <si>
    <t>Egyéb költségvetési szervek összesen:</t>
  </si>
  <si>
    <t>Költségvetési szervek mindösszesen:</t>
  </si>
  <si>
    <t>2012. évi eredeti előir.</t>
  </si>
  <si>
    <t xml:space="preserve">Kerékpárutakhoz területvásárlás </t>
  </si>
  <si>
    <t>Termál utca járdaépítés</t>
  </si>
  <si>
    <t>Vizslaparki u. 25. mellett parkolóépítés</t>
  </si>
  <si>
    <t>Landorhegyi u. 24. parkolóépítés</t>
  </si>
  <si>
    <t>Mészáros Lázár u. 4. sz. szemközti átjáró burkolatépítés</t>
  </si>
  <si>
    <t>Göcseji- Mártírok u. csomópont korszerűsítés pályázati támogatással azonosító kód:NYDOP-4.3.I/C-09-2009-0001</t>
  </si>
  <si>
    <t>Bíró M.u.-parkoló tervezése és építése</t>
  </si>
  <si>
    <t>Toposházi u.buszforduló és  útépítés II. ütem</t>
  </si>
  <si>
    <t>Zalabesenyő játszótér és környezetének fejlesztése</t>
  </si>
  <si>
    <t>Ebergényben sportpálya és pihenőpark kialakítása</t>
  </si>
  <si>
    <t>Városi csapadékvízelvezetés fejlesztésével kapcsolatos tervezési feladatok</t>
  </si>
  <si>
    <t xml:space="preserve">Vasútfejlesztés </t>
  </si>
  <si>
    <t>Landorhegyi. Ált. Isk., Sportiskola</t>
  </si>
  <si>
    <t>Városi Sportlétesítmény Gondnokság</t>
  </si>
  <si>
    <t>Landorhegyi  Ált. Isk., Sportiskola</t>
  </si>
  <si>
    <t>Év közben jelentkező feladatok</t>
  </si>
  <si>
    <t>Mártírok u. 5. sz. alatt kivett kollégium ingatlan fűtési rsz. hiányzó elemeinek pótlása</t>
  </si>
  <si>
    <t>Deák Ferenc Gazdaságélénkítő Program</t>
  </si>
  <si>
    <t xml:space="preserve"> É-i ipari zóna terület(előkészítés) rehabilitáció</t>
  </si>
  <si>
    <t>Belvárosrehabilitáció II.ütemének előkészítő munkái</t>
  </si>
  <si>
    <t>Farekonstrukciós terv végrehajtása II. ütem</t>
  </si>
  <si>
    <t>9.a/2</t>
  </si>
  <si>
    <t>9.a/3</t>
  </si>
  <si>
    <t>9.a/4</t>
  </si>
  <si>
    <t>Déli Ipari Parkban műszaki ellenőrzés és területvásárlás</t>
  </si>
  <si>
    <t>Városrehabilitációs program folytatása (ingatlanvás.) Lakásalap</t>
  </si>
  <si>
    <t xml:space="preserve">Parkolóépítések (parkolómegváltási bevételből) </t>
  </si>
  <si>
    <t>1./10</t>
  </si>
  <si>
    <t>Polgármesteri Iroda  kiadásai összesen:</t>
  </si>
  <si>
    <t>Parkerdő fejlesztés (Tanösvény II.ütem)</t>
  </si>
  <si>
    <t>Ola.u. mögötti sportpálya és játszótér rendbetétele</t>
  </si>
  <si>
    <t xml:space="preserve"> - Egerszegkártya</t>
  </si>
  <si>
    <t>Kaszaházi fennsík közműfejlesztés</t>
  </si>
  <si>
    <t>Belváros rehabilitációs program pályázati támogatással</t>
  </si>
  <si>
    <t>Önk.tulajdonú lakások bontása városrehabilitációs terület biztosításához (Lakásalapból)</t>
  </si>
  <si>
    <t>6.b/10</t>
  </si>
  <si>
    <t>6.b/11</t>
  </si>
  <si>
    <t>6.b/12</t>
  </si>
  <si>
    <t>Önkormányzati erdősítések és ápolási munkálatok</t>
  </si>
  <si>
    <t>Építési telek kialakítása, közművesítése (Flórián u. , Andráshida ) Lakásalap</t>
  </si>
  <si>
    <t>kgy</t>
  </si>
  <si>
    <t>"Ivóvízminőség javítása" KEOP pályázathoz önrész (KEOP-7.1.3.0/09-201-0017 )</t>
  </si>
  <si>
    <t>10.</t>
  </si>
  <si>
    <t>11.</t>
  </si>
  <si>
    <t>Elővásárlási jog gyakorlásával történő lakóingatlan vásárlása (Lakásalap)</t>
  </si>
  <si>
    <t>841908 Fejezeti és általános tartalékok elszámolása</t>
  </si>
  <si>
    <t>Kosztolányi téri tagóvoda fürdőblokkok felújítása, tornaszobából a szennyvízakna kültérbe helyezése</t>
  </si>
  <si>
    <t>Rákóczi u. járdafelújítás</t>
  </si>
  <si>
    <t>6.a/1</t>
  </si>
  <si>
    <t>Csipke Kft-vel kötött szerződés a 178/2008. Kgy.hat.alapján</t>
  </si>
  <si>
    <t>1.a/1.</t>
  </si>
  <si>
    <t>Városi Középiskolai  Kollégium</t>
  </si>
  <si>
    <t>Deák F. és Széchenyi István Szakközép- és Szakiskola, Sportiskola</t>
  </si>
  <si>
    <t>Ady Endre Ált.Iskola, Gimnázium és Alapfokú Művészetoktatási Intézmény</t>
  </si>
  <si>
    <t>ktgv. támog.</t>
  </si>
  <si>
    <t>alaptól átvett</t>
  </si>
  <si>
    <t>Felhalmo- zási célra</t>
  </si>
  <si>
    <t>nélküli bevétel</t>
  </si>
  <si>
    <t>bevétel összesen</t>
  </si>
  <si>
    <t xml:space="preserve">          GESZ</t>
  </si>
  <si>
    <t xml:space="preserve">         GESZ</t>
  </si>
  <si>
    <t>1.a/1</t>
  </si>
  <si>
    <t xml:space="preserve"> - Fejlesztési kiadás </t>
  </si>
  <si>
    <t>Felhalmozási célú céltartalék</t>
  </si>
  <si>
    <t>ebből:  Belvárosi I. sz. Integrált Óvoda</t>
  </si>
  <si>
    <t xml:space="preserve">             Belvárosi II. sz. Integrált Óvoda</t>
  </si>
  <si>
    <t xml:space="preserve">             Kertvárosi   Integrált Óvoda</t>
  </si>
  <si>
    <t xml:space="preserve">             Landorhegyi Integrált Óvoda</t>
  </si>
  <si>
    <t>Népjóléti feladatok összesen:</t>
  </si>
  <si>
    <t>A módosított előirányzatból</t>
  </si>
  <si>
    <t>Módosítás     összege</t>
  </si>
  <si>
    <t>Módosított előir. összesen</t>
  </si>
  <si>
    <t xml:space="preserve">          Családsegítő Szolgálat</t>
  </si>
  <si>
    <t xml:space="preserve">          Egészségügyi Alapellátás</t>
  </si>
  <si>
    <t>Városi Sportlétesítmény Gondn.</t>
  </si>
  <si>
    <t xml:space="preserve"> A módosított előirányzatból</t>
  </si>
  <si>
    <t>Pénze.átad.egyéb tám.</t>
  </si>
  <si>
    <t>Módosí-          tás összege</t>
  </si>
  <si>
    <t xml:space="preserve"> - parkfenntartás</t>
  </si>
  <si>
    <t>Lakossági-civil kezdeményezések keretből felhalmozási célú átadás</t>
  </si>
  <si>
    <t>biz.</t>
  </si>
  <si>
    <t>Működési            célra</t>
  </si>
  <si>
    <t>Felhal-                       mozásra</t>
  </si>
  <si>
    <t>Jogi és Igazgatási feladatok</t>
  </si>
  <si>
    <t>Jogi és Igazgatási feladatok összesen:</t>
  </si>
  <si>
    <t>Városépítészet</t>
  </si>
  <si>
    <t>Oktatási Kulturális feladatok összesen:</t>
  </si>
  <si>
    <t>Oktatási- kulturális feladatok</t>
  </si>
  <si>
    <t>Oktatási- kulturális feladatok összesen:</t>
  </si>
  <si>
    <t>Népjóléti feladatok öszesen:</t>
  </si>
  <si>
    <t>6./4</t>
  </si>
  <si>
    <t>6./5</t>
  </si>
  <si>
    <t>Csatornarendszer (szennyvíz-csapadékvíz)</t>
  </si>
  <si>
    <t>I. Működési célú bevételek</t>
  </si>
  <si>
    <t>I. Működési célú kiadások</t>
  </si>
  <si>
    <t>1.) Saját bevételek</t>
  </si>
  <si>
    <t>4.) Céltartalékból működésre</t>
  </si>
  <si>
    <t>5.) Általános tartalék</t>
  </si>
  <si>
    <t>4.) Állami hozzájárulás, támogatás</t>
  </si>
  <si>
    <t xml:space="preserve"> - képviselők és bizottsági tagok tiszteletdíja</t>
  </si>
  <si>
    <t>890441 Közcélú  foglalkoztatás</t>
  </si>
  <si>
    <t xml:space="preserve"> - közfoglalkoztatás</t>
  </si>
  <si>
    <t xml:space="preserve"> - lépcsők,sétányok, támfalak, korlátok javítása</t>
  </si>
  <si>
    <t>9./1.</t>
  </si>
  <si>
    <t>Aquaparkban felújítási munkák</t>
  </si>
  <si>
    <t>932911 Szabadidős park, fürdő és strandszolgáltatás</t>
  </si>
  <si>
    <t xml:space="preserve"> - Aquaparkba kisértékű eszközök beszerzése</t>
  </si>
  <si>
    <t>841401 Közvilágítás</t>
  </si>
  <si>
    <t xml:space="preserve"> - közvilágítás fejlesztéséhez lakossági befizetés</t>
  </si>
  <si>
    <t xml:space="preserve"> - Deák SZKI infrastrukturális fejlesztéséhez kapcsolódó közfoglalkoztatás</t>
  </si>
  <si>
    <t xml:space="preserve"> - egyéb város- és községgazdálkodás</t>
  </si>
  <si>
    <t xml:space="preserve"> - egyéb város- és községgazdálkodás (vadkár megtérítés)</t>
  </si>
  <si>
    <t xml:space="preserve"> - gébárti kemping földhasználat</t>
  </si>
  <si>
    <t xml:space="preserve"> - Aquapark üzemeltetés</t>
  </si>
  <si>
    <t xml:space="preserve"> - fedett termálfürdő jegyár kompenzáció</t>
  </si>
  <si>
    <t xml:space="preserve"> - lakásalap számla és befektetés utáni kamat</t>
  </si>
  <si>
    <t xml:space="preserve"> - bérlakások energiatanúsítványának elkészítése</t>
  </si>
  <si>
    <t>422100 folyadék szállítására szolgáló közmű építése</t>
  </si>
  <si>
    <t xml:space="preserve"> - Szennyvíz Társulástól átvett pe. az I. ütem elszámolásából</t>
  </si>
  <si>
    <t>6./8</t>
  </si>
  <si>
    <t>Inkubátorház bővítés pályázati önrész biztosítása a Városfejlesztő Zrt. Részére</t>
  </si>
  <si>
    <t xml:space="preserve"> - csapadékvízelvezető és árvízvédelmi létesítmények fenntartása</t>
  </si>
  <si>
    <t xml:space="preserve"> - Októberfeszt támogatása</t>
  </si>
  <si>
    <t>890509 Egyéb m.n.s. közösségi, társadalmi tevékenységek támogatása</t>
  </si>
  <si>
    <t xml:space="preserve">   Költségvetési műk. kiadásai összesen:</t>
  </si>
  <si>
    <t>6.) Finanszírozási műveletek (lízing kamata)</t>
  </si>
  <si>
    <t xml:space="preserve">     Költségvetési műk. bevételei összesen:</t>
  </si>
  <si>
    <t>MŰKÖDÉSI CÉLÚ KIADÁSOK ÖSSZ.:</t>
  </si>
  <si>
    <t>II. Felhalmozási célú kiadások</t>
  </si>
  <si>
    <t>1.) Támogatásértékű kiadás és végleges pénzeszköz átadás felhalm.célra</t>
  </si>
  <si>
    <t xml:space="preserve">          ebből:    - felújítás</t>
  </si>
  <si>
    <t xml:space="preserve">MŰKÖDÉSI CÉLÚ BEVÉTELEK ÖSSZ:                      </t>
  </si>
  <si>
    <t xml:space="preserve">                        - fejlesztés</t>
  </si>
  <si>
    <t>II. Felhalmozási célú bevételek</t>
  </si>
  <si>
    <t>2.) Beruházás</t>
  </si>
  <si>
    <t>3.) Felújítás</t>
  </si>
  <si>
    <t xml:space="preserve">   2.4 Bírságok, pótlékok és egyéb sajátos bevételek</t>
  </si>
  <si>
    <t>4.) Céltartalék</t>
  </si>
  <si>
    <t>5.) Kölcsönnyújtás</t>
  </si>
  <si>
    <t>6.)Fejlesztési hitel kamata</t>
  </si>
  <si>
    <t xml:space="preserve">     Költségvetési felhalm. bevételei összesen:</t>
  </si>
  <si>
    <t xml:space="preserve">      Költségvetési felh.célú kiadásai összesen:</t>
  </si>
  <si>
    <t xml:space="preserve"> Finanszírozási műveletek</t>
  </si>
  <si>
    <t>Alcím    szám</t>
  </si>
  <si>
    <t>2012. évi létszám keret eredeti ei.</t>
  </si>
  <si>
    <t>Igazgatási dolgozó</t>
  </si>
  <si>
    <t>Orvos</t>
  </si>
  <si>
    <t>Óvoda pedagógus</t>
  </si>
  <si>
    <t>Pedagógus</t>
  </si>
  <si>
    <t>Népművelő, könyvtáros</t>
  </si>
  <si>
    <t>Egyéb szakalkal- mazott</t>
  </si>
  <si>
    <t>Ügyviteli dolgozó</t>
  </si>
  <si>
    <t>Fizikai dolgozó</t>
  </si>
  <si>
    <t>2012. évi módosított létszám keret</t>
  </si>
  <si>
    <t xml:space="preserve">Változás </t>
  </si>
  <si>
    <t>Béke Ligeti Ált. Isk.és Speciális  Szakiskola</t>
  </si>
  <si>
    <t>Belvárosi Magyar-Angol Ált. Isk.</t>
  </si>
  <si>
    <t>Kertvárosi  Általános Iskola</t>
  </si>
  <si>
    <t>Pálóczi H. Á. Alapfokú Művészetokt. Int.</t>
  </si>
  <si>
    <t>Általános iskola:</t>
  </si>
  <si>
    <t>Ady Endre Általános Iskola, Gimnázium és Alapfokú Művészetoktatási Intézmény</t>
  </si>
  <si>
    <t>Petőfi Sándor Székhelyiskola</t>
  </si>
  <si>
    <t>Dózsa György Tagiskola</t>
  </si>
  <si>
    <t>Eötvös József Székhelyiskola</t>
  </si>
  <si>
    <t>Liszt Ferenc Tagiskola</t>
  </si>
  <si>
    <t>Landorhegyi Általános Iskola, Sportiskola</t>
  </si>
  <si>
    <t>a.) Landorhegyi Székhelyiskola</t>
  </si>
  <si>
    <t>b.) Pais Dezső utcai telephely</t>
  </si>
  <si>
    <t>Izsák Imre ÁMK</t>
  </si>
  <si>
    <t>Izsák ÁMK Óvoda</t>
  </si>
  <si>
    <t>Öveges József ÁMK</t>
  </si>
  <si>
    <t>Öveges ÁMK Óvoda</t>
  </si>
  <si>
    <t>Béke ligeti Általános Iskola, Speciális Szakiskola és Egységes Gyógypedagógiai Módszertani Intézmény</t>
  </si>
  <si>
    <t>Pálóczi Horváth Ádám Alapfokú Művészetoktatási Intézmény</t>
  </si>
  <si>
    <t>Középiskolák, kollégium:</t>
  </si>
  <si>
    <t>Kölcsey Ferenc Gimnázium</t>
  </si>
  <si>
    <t>Zrínyi Miklós Gimnázium</t>
  </si>
  <si>
    <t>Csány László Közgazdasági Szakközépiskola</t>
  </si>
  <si>
    <t>Deák Ferenc és Széchenyi István Szakközép- és Szakiskola, Sportiskola</t>
  </si>
  <si>
    <t>Deák Ferenc Székhelyiskola</t>
  </si>
  <si>
    <t>Széchenyi István Tagiskola</t>
  </si>
  <si>
    <t>Ganz Ábrahám és Munkácsy Mihály Szakközépiskola és Szakiskola</t>
  </si>
  <si>
    <t>Ganz Ábrahám Székhelyiskola</t>
  </si>
  <si>
    <t>Munkácsy Mihály Tagiskola</t>
  </si>
  <si>
    <t>Báthory István Kereskedelmi, Vendéglátó, Idegenforgalmi Székhelyiskola</t>
  </si>
  <si>
    <t>Kinizsi Pál Mezőgazdasági és Élelmiszer-ipari Tagiskola</t>
  </si>
  <si>
    <t>Teleki Blanka Középiskolai Székhelykollégium</t>
  </si>
  <si>
    <t>Kovács Károly Tagkollégium</t>
  </si>
  <si>
    <t>Kaffka Margit Tagkollégium</t>
  </si>
  <si>
    <t>Kulturális-közművelődési és egyéb intézmények:</t>
  </si>
  <si>
    <t>Tipegő Bölcsőde</t>
  </si>
  <si>
    <t>Cseperedő Bölcsőde</t>
  </si>
  <si>
    <t>Űrhajós Bölcsőde</t>
  </si>
  <si>
    <t>Gyimesi Lajos Fogyatékkal Élők Nappali Intézménye</t>
  </si>
  <si>
    <t>Családsegítő Szolgálat és Gyermekjóléti Központ</t>
  </si>
  <si>
    <t>Egészségügyi Alapellátás</t>
  </si>
  <si>
    <t>II. sz. Idősek Klubja , Kosztolányi u. 23.</t>
  </si>
  <si>
    <t>III. sz. Idősek Klubja, Platán sor 4.</t>
  </si>
  <si>
    <t>IV. sz. Idősek Klubja, Andráshida u. 5.</t>
  </si>
  <si>
    <t>Idősek Gondozóháza, Landorhegyi u. 13/a.</t>
  </si>
  <si>
    <t>Belvárosi I. sz. Integrált Óvoda</t>
  </si>
  <si>
    <t>Ady utcai Székhelyóvoda</t>
  </si>
  <si>
    <t>Mikes utcai Tagóvoda</t>
  </si>
  <si>
    <t>Ságodi Óvodai Csoport</t>
  </si>
  <si>
    <t>Kis utcai Tagóvoda</t>
  </si>
  <si>
    <t>Belvárosi II. sz. Integrált Óvoda</t>
  </si>
  <si>
    <t>Radnóti utcai Székhelyóvoda</t>
  </si>
  <si>
    <t>Petőfi utcai Tagóvoda</t>
  </si>
  <si>
    <t>Kosztolányi D. téri Tagóvoda</t>
  </si>
  <si>
    <t>Szent László úti Tagóvoda</t>
  </si>
  <si>
    <t>Kertvárosi Integrált Óvoda</t>
  </si>
  <si>
    <t>Csillag közi Székhelyóvoda</t>
  </si>
  <si>
    <t>Napsugár utcai Tagóvoda</t>
  </si>
  <si>
    <t>Landorhegyi Integrált Óvoda</t>
  </si>
  <si>
    <t>Űrhajós utcai Székhelyóvoda</t>
  </si>
  <si>
    <t>Kodály Zoltán utcai Tagóvoda</t>
  </si>
  <si>
    <t>Bazitai Óvodai Csoport</t>
  </si>
  <si>
    <t>Landorhegyi úti Tagóvoda</t>
  </si>
  <si>
    <t>Keresztury Dezső ÁMK</t>
  </si>
  <si>
    <t>Városi Hangverseny- és Kiállítóterem</t>
  </si>
  <si>
    <t>József Attila Városi Könyvtár</t>
  </si>
  <si>
    <t>Tourinforn Iroda</t>
  </si>
  <si>
    <t>Kézműves Ház (Gébárt)</t>
  </si>
  <si>
    <t>Városi Sportlétesítmény Gondnokság Intézménye</t>
  </si>
  <si>
    <r>
      <t xml:space="preserve">Gondozási Központ </t>
    </r>
    <r>
      <rPr>
        <sz val="10"/>
        <rFont val="Times New Roman"/>
        <family val="1"/>
      </rPr>
      <t>Kossuth L. u. 58-60.</t>
    </r>
  </si>
  <si>
    <t>Napsugár Bölcsőde ( csak villamos energia beszerzés)</t>
  </si>
  <si>
    <t>Idősek Otthona, Gasparich u. 3. ( csak villamos energia beszerzés)</t>
  </si>
  <si>
    <r>
      <t xml:space="preserve">Hevesi Sándor Színház és Griff Bábszínház     </t>
    </r>
    <r>
      <rPr>
        <sz val="10"/>
        <rFont val="Times New Roman"/>
        <family val="1"/>
      </rPr>
      <t>(csak villamos energia beszerzés )</t>
    </r>
  </si>
  <si>
    <t>3. Előző évek tartalékából értékpapír beváltás</t>
  </si>
  <si>
    <t xml:space="preserve">  -  Foglalkoztatást helyettesítő támogatás</t>
  </si>
  <si>
    <t>Alapfokú oktatás összesen:</t>
  </si>
  <si>
    <t>Apáczai Cs.J. ÁMK</t>
  </si>
  <si>
    <t>Középfokú oktatás és koll. össz:</t>
  </si>
  <si>
    <t>Iskolák és kollégiumok összesen:</t>
  </si>
  <si>
    <t>ebből: Egyesített bölcsődék</t>
  </si>
  <si>
    <t xml:space="preserve">        Családsegítő és Gyerm.jóléti szolg.</t>
  </si>
  <si>
    <t xml:space="preserve">         Egészségügyi I.Alapell.</t>
  </si>
  <si>
    <t>ebből: Belvárosi I. sz. Integrált Óvoda</t>
  </si>
  <si>
    <t xml:space="preserve">        Belvárosi  II.sz. Integrált Óvoda </t>
  </si>
  <si>
    <t xml:space="preserve">         Kertvárosi  Integrált Óvoda </t>
  </si>
  <si>
    <t xml:space="preserve">         Landorhegyi Integrált Óvoda </t>
  </si>
  <si>
    <t>Keresztury Dezső Általános Műv. Kp.</t>
  </si>
  <si>
    <t xml:space="preserve">            Általános Művelődési Központ</t>
  </si>
  <si>
    <t>Városi Sportlét. Gondnoks.</t>
  </si>
  <si>
    <t>ZMJV Hivatásos Önkorm. Tűzoltósága</t>
  </si>
  <si>
    <t>Hevesi Sándor Színház</t>
  </si>
  <si>
    <t>ebből: Hevesi Sándor Színház</t>
  </si>
  <si>
    <t xml:space="preserve">            Griff Bábszínház</t>
  </si>
  <si>
    <t>Költségvetési szervek mindössz.</t>
  </si>
  <si>
    <t>FELHALMOZÁSI CÉLÚ BEVÉTELEK  ÖSSZESEN:</t>
  </si>
  <si>
    <t>FELHALMOZÁSI CÉLÚ KIADÁSOK ÖSSZESEN:</t>
  </si>
  <si>
    <t>Sor- szám</t>
  </si>
  <si>
    <t>BEVÉTELEK</t>
  </si>
  <si>
    <t>I.</t>
  </si>
  <si>
    <t>Működési  bevételek</t>
  </si>
  <si>
    <t>1. Intézményi működési bevételek</t>
  </si>
  <si>
    <t>2. Önkormányzatok sajátos működési bevételei</t>
  </si>
  <si>
    <t xml:space="preserve">   2.1. Illetékek</t>
  </si>
  <si>
    <t xml:space="preserve">   2.2  Helyi adók</t>
  </si>
  <si>
    <t xml:space="preserve">   2.3 Átengedett központi adók</t>
  </si>
  <si>
    <t>MŰKÖDÉSI BEVÉTELEK ÖSSZESEN:</t>
  </si>
  <si>
    <t>II.</t>
  </si>
  <si>
    <t xml:space="preserve"> Támogatások</t>
  </si>
  <si>
    <t>1. Önkormányzatok költségvetési támogatása</t>
  </si>
  <si>
    <t xml:space="preserve">   1.1 Normatív hozzájárulások</t>
  </si>
  <si>
    <t xml:space="preserve">   1.2 Központosított előirányzatok</t>
  </si>
  <si>
    <t xml:space="preserve">   1.3 Helyi önkormányzatok színházi  támogatása</t>
  </si>
  <si>
    <t xml:space="preserve">   1.4 Normatív  kötött felhasználású támogatások</t>
  </si>
  <si>
    <t xml:space="preserve">  1.5 Fejlesztési célú támogatások</t>
  </si>
  <si>
    <t>TÁMOGATÁSOK ÖSSZESEN:</t>
  </si>
  <si>
    <t>III.</t>
  </si>
  <si>
    <t xml:space="preserve"> Felhalmozási és tőkejellegű bevételek</t>
  </si>
  <si>
    <t>1. Tárgyi eszközök és immateriális javak értékesítése</t>
  </si>
  <si>
    <t>Egyéb szervezetek támogatása felhalmozási célú pe. átadás</t>
  </si>
  <si>
    <t xml:space="preserve"> -fordított Áfa</t>
  </si>
  <si>
    <t>6./9</t>
  </si>
  <si>
    <t>Volt Hadkieg. Parancsnokság fejlesztési feladatai</t>
  </si>
  <si>
    <t>841325 Építésügy,területpolitika területi igazgatása és szabályozása</t>
  </si>
  <si>
    <t xml:space="preserve"> - ingatlanok jogi helyzetének rendezése, művelési ág változtatása</t>
  </si>
  <si>
    <t>869047 Komplex egészségfejlesztő, prvenciós programok</t>
  </si>
  <si>
    <t>882119 Óvodáztatási támogatás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</si>
  <si>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</si>
  <si>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</si>
  <si>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</si>
  <si>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</si>
  <si>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>882112 Időskorúak járadéka</t>
  </si>
  <si>
    <t>882115 Ápolási díj alanyi jogon</t>
  </si>
  <si>
    <t>841902 Központi költségvetési befizetések</t>
  </si>
  <si>
    <t>882113 Lakásfenntartási támogatás normatív alapon</t>
  </si>
  <si>
    <t xml:space="preserve">882201 Adósságkezelési szolgáltatás </t>
  </si>
  <si>
    <t xml:space="preserve"> Támogatásértékű bevétel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</si>
  <si>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</si>
  <si>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</si>
  <si>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</si>
  <si>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</si>
  <si>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</si>
  <si>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</si>
  <si>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</si>
  <si>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</si>
  <si>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VI.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</si>
  <si>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</si>
  <si>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</si>
  <si>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</si>
  <si>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</si>
  <si>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HITELEK ÖSSZESEN:</t>
  </si>
  <si>
    <t>VIII.</t>
  </si>
  <si>
    <t>Pénzforgalom nélküli bevételek</t>
  </si>
  <si>
    <t>1. Előző évi előirányzat-maradvány, pénzmaradvány igénybevétele</t>
  </si>
  <si>
    <t>2. Előző évi vállalkozási eredmény igénybevétele</t>
  </si>
  <si>
    <t>PÉNZFORGALOM NÉLKÜLI BEVÉTELEK ÖSSZESEN:</t>
  </si>
  <si>
    <t>BEVÉTELEK MINDÖSSZESEN:</t>
  </si>
  <si>
    <t>Gazdasági   Bizottság átruházott hatáskörében felosztható keret</t>
  </si>
  <si>
    <t xml:space="preserve">        egyéb szervezetek támogatása</t>
  </si>
  <si>
    <t xml:space="preserve">        lakossági, civil kezdeményezések támogatása</t>
  </si>
  <si>
    <t xml:space="preserve"> -   lakossági, civil kezdeményezések támogatása</t>
  </si>
  <si>
    <t xml:space="preserve">saját </t>
  </si>
  <si>
    <t>Támogatásértékű kiadás, végleges pénzeszköz átadás</t>
  </si>
  <si>
    <t>Felhalm. kiadások</t>
  </si>
  <si>
    <t>Beruhá-          zási kiad.</t>
  </si>
  <si>
    <t xml:space="preserve"> - VG Kft.parkfenntartás szerződéses munkák</t>
  </si>
  <si>
    <t>6.1./1</t>
  </si>
  <si>
    <t>6.1./2</t>
  </si>
  <si>
    <t>6.1./3</t>
  </si>
  <si>
    <t>Hitelek, é.papírok, kölcsönök kiadása</t>
  </si>
  <si>
    <t>Tartalékok</t>
  </si>
  <si>
    <t>1.a/2</t>
  </si>
  <si>
    <t>1.a/3</t>
  </si>
  <si>
    <t>Páterdombi sportpálya kialakítás előkészítő munkái</t>
  </si>
  <si>
    <t>Falumúzeum szennyvízelvezetés</t>
  </si>
  <si>
    <t xml:space="preserve">  - egyes jövedelempótló támogatás</t>
  </si>
  <si>
    <t>Hevesi Sándor Színház és Griff Bábsz.</t>
  </si>
  <si>
    <t>25/2</t>
  </si>
  <si>
    <t>Belvárosi Magyar-Angol Két Tanítási Nyelvű Általános Iskola</t>
  </si>
  <si>
    <t>Páterdombi Szakképző Iskola</t>
  </si>
  <si>
    <t>1.a/4</t>
  </si>
  <si>
    <t>2.a/1</t>
  </si>
  <si>
    <t>3.a/1</t>
  </si>
  <si>
    <t>3.a/2</t>
  </si>
  <si>
    <t>Kosztolányi út kétirányúsítása</t>
  </si>
  <si>
    <t>4.a/1</t>
  </si>
  <si>
    <t>4.a/2</t>
  </si>
  <si>
    <t>4.a/3</t>
  </si>
  <si>
    <t>4.a/4</t>
  </si>
  <si>
    <t>4.a/5</t>
  </si>
  <si>
    <t>4.a/6</t>
  </si>
  <si>
    <t>4.a/7</t>
  </si>
  <si>
    <t>4.a/8</t>
  </si>
  <si>
    <t>4.a/9</t>
  </si>
  <si>
    <t>Előtervezések</t>
  </si>
  <si>
    <t>6.1.a/1</t>
  </si>
  <si>
    <t>6.1.a/4</t>
  </si>
  <si>
    <t>6.1.a/5</t>
  </si>
  <si>
    <t>6./6</t>
  </si>
  <si>
    <t>6./7</t>
  </si>
  <si>
    <t>ZÉSZ  intézkedési tervek</t>
  </si>
  <si>
    <t>6.b/1</t>
  </si>
  <si>
    <t>6.b/2</t>
  </si>
  <si>
    <t>6.b/3</t>
  </si>
  <si>
    <t>6.b/4</t>
  </si>
  <si>
    <t>6.b/5</t>
  </si>
  <si>
    <t>6.b/6</t>
  </si>
  <si>
    <t>6.b/7</t>
  </si>
  <si>
    <t>6.b/8</t>
  </si>
  <si>
    <t>6.b/9</t>
  </si>
  <si>
    <t>Hulladékgazdálkodás</t>
  </si>
  <si>
    <t>Aquapark  fejlesztés</t>
  </si>
  <si>
    <t>9.a/1</t>
  </si>
  <si>
    <t>Csapadékcsatorna felújítások</t>
  </si>
  <si>
    <t>Árvízvédelmi töltések felújítása</t>
  </si>
  <si>
    <t>Helyi építészeti értékek védelme</t>
  </si>
  <si>
    <t>Önkormányzat tulajdonában lévő lakóépületek (lakások)  teljes vagy részleges  felújítása, korszerűsítése  (Lakásalap)</t>
  </si>
  <si>
    <t>12.</t>
  </si>
  <si>
    <t>A lakáscélú állami támogatásokról szóló külön jogszabály szerinti pályázati önrész finanszírozása (egycsatornás gyűjtőkémények felújítása) Lakásalapból</t>
  </si>
  <si>
    <t>493102 Városi és elővárosi közúti személyszáll.</t>
  </si>
  <si>
    <t>931903 Máshova nem sorolható egyéb sporttámogatás</t>
  </si>
  <si>
    <t>890301 Civil szervezetek működési támogatása</t>
  </si>
  <si>
    <t>841126  Önkorm. igazgatási  tevékenysége</t>
  </si>
  <si>
    <t>890301 Civil szervezetek támogatása</t>
  </si>
  <si>
    <t>20./1.</t>
  </si>
  <si>
    <t>20./2.</t>
  </si>
  <si>
    <t>20./3.</t>
  </si>
  <si>
    <t>25./1.</t>
  </si>
  <si>
    <t>25./2.</t>
  </si>
  <si>
    <t>841901 Önkormányzatok, valamint többcélú kistérségi társulások elszámolásai</t>
  </si>
  <si>
    <t>Jogi és közig.feladatok</t>
  </si>
  <si>
    <t>Magánerős útépítések támogatása</t>
  </si>
  <si>
    <t>Gyalogos átkelőhelyek létesítése</t>
  </si>
  <si>
    <t xml:space="preserve"> - Zalavolán Rt. működési támogatása</t>
  </si>
  <si>
    <t>1./7</t>
  </si>
  <si>
    <t>Ingatlanvásárlás</t>
  </si>
  <si>
    <t>Nyílt árkok felújítása</t>
  </si>
  <si>
    <t>Rendezési tervek</t>
  </si>
  <si>
    <t>1.</t>
  </si>
  <si>
    <t>Közvilágítás és egyéb közmű beruházások</t>
  </si>
  <si>
    <t>Parkok, terek, játszóterek</t>
  </si>
  <si>
    <t>Stratégiai tervezés, fejlesztés és területszerzés</t>
  </si>
  <si>
    <t>Módosítás
hatáskör
szerint **</t>
  </si>
  <si>
    <t xml:space="preserve">Önkormányzat  </t>
  </si>
  <si>
    <t>Petőfi u. Bölcsőde elavult belső villamos hálózat tervezése és felújítása</t>
  </si>
  <si>
    <t>Űrhajós úti bölcsőde kültéri berendezéseinek felújítása</t>
  </si>
  <si>
    <t>Landorhegyi u.8. szám alatti gyermekorvosi rendelők felújítása</t>
  </si>
  <si>
    <t>1.a/2.</t>
  </si>
  <si>
    <t>1.a/3.</t>
  </si>
  <si>
    <t>Mikes K. Tagóvoda balesetveszélyes terasz felújítása</t>
  </si>
  <si>
    <t xml:space="preserve">Kis utcai Székhelyóvoda 1 db régi gyerekmosdó felújítása </t>
  </si>
  <si>
    <t>Petőfi úti óvodában udvarrendezés</t>
  </si>
  <si>
    <t>Ady E. Gimnázium és Ált.Iskolában felújítás</t>
  </si>
  <si>
    <t>Dózsa Gy. Tagiskola alagsor felújítása</t>
  </si>
  <si>
    <t>Napsugár u. óvoda kültéri berendezéseinek felújítása</t>
  </si>
  <si>
    <t>Űrhajós u. óvoda kültéri berendezéseinek felújítása</t>
  </si>
  <si>
    <t>Öveges Óvoda süllyedés miatti talajstabilizálás</t>
  </si>
  <si>
    <t>Termálmedence csempeburkolat javítása</t>
  </si>
  <si>
    <t xml:space="preserve">Andráshida tekecsarnok tetőrekonstrukció </t>
  </si>
  <si>
    <t xml:space="preserve">Olajos átkötő út felújítás gumibitumenes aszfalttal </t>
  </si>
  <si>
    <t>Köztársaság u. burkolatfelújítás I. ütem</t>
  </si>
  <si>
    <t>Ifjúság u. burkolat felújítás</t>
  </si>
  <si>
    <t>Vörösmarty u. gázvezeték rekonstukciót követően a másik fél pálya helyreállítása</t>
  </si>
  <si>
    <t>Széchenyi tér buszmegálló felújítása szigeteléssel együtt, nyilvános WC felúj.</t>
  </si>
  <si>
    <t>Csendes utca burkolatfelújítás I. ütem</t>
  </si>
  <si>
    <t>Szociális, Egészségügyi  és Esélyegyenlőségi Bizottság átruházott hatáskörében felosztható keret</t>
  </si>
  <si>
    <t xml:space="preserve">       eü. és szociális ágazat pályázati kerete</t>
  </si>
  <si>
    <t xml:space="preserve"> - eü. és szociális ágazat pályázati kerete</t>
  </si>
  <si>
    <t>KI-SZO-SAN lakóparkhoz vezető út aszfaltozása</t>
  </si>
  <si>
    <t>Alkotmány utca burkolatmegerősítés</t>
  </si>
  <si>
    <t>Botfy L. u. felújítás Vizslaparki u. - Mártírok u. közötti szakaszon</t>
  </si>
  <si>
    <t>Csukás-pataki balesetveszélyes híd felújítása</t>
  </si>
  <si>
    <t>Alsóerdei u. balesetveszélyes fahíd felújítása</t>
  </si>
  <si>
    <t>Erkel F. u. járdaburkolat felújítása</t>
  </si>
  <si>
    <t xml:space="preserve">Batthyány L. u.  járdaburkolat felújítása </t>
  </si>
  <si>
    <t>Gazdaság u. járdaburkolat felújítás</t>
  </si>
  <si>
    <t>Zárda u. - Alsójánkahegyi u. közötti tereplécső felújítása</t>
  </si>
  <si>
    <t>Zrínyi u., Vasútállomás - Bartók közötti kerékpárút burkolat és kiemelt szegély felújítás</t>
  </si>
  <si>
    <t xml:space="preserve">Gógánhegyen útburkolat felújítási munkák                             </t>
  </si>
  <si>
    <t>Virágzómező u. felújítás II.ütem</t>
  </si>
  <si>
    <t>Kertész utca É-i szakaszának felújítása</t>
  </si>
  <si>
    <t>Ola utcai és Rákóczi utcai járda felújítása, zöldfelület rendezése</t>
  </si>
  <si>
    <t>Járdafelújítások Páterdombon</t>
  </si>
  <si>
    <t>4./25</t>
  </si>
  <si>
    <t>Kinizsi u. 78. társasház előtt burkolatfelújítás</t>
  </si>
  <si>
    <t>4./26</t>
  </si>
  <si>
    <t>Járdafelújítások Zalabesenyőben</t>
  </si>
  <si>
    <t>4./27</t>
  </si>
  <si>
    <t>Járdafelújítások Botfán</t>
  </si>
  <si>
    <t>4./28</t>
  </si>
  <si>
    <t>Majori út burkolat felújítás</t>
  </si>
  <si>
    <t>4./29</t>
  </si>
  <si>
    <t>Csáfordi forduló burkolat felújítás</t>
  </si>
  <si>
    <t>4./30</t>
  </si>
  <si>
    <t>Nimród utca burkolat felújítás</t>
  </si>
  <si>
    <t>4./31</t>
  </si>
  <si>
    <t>Bazita u. járdaburkolat felújítása I.ütem</t>
  </si>
  <si>
    <t>4./32</t>
  </si>
  <si>
    <t>Madách u. 2-14.sz.társasházak előtti járda felújítása</t>
  </si>
  <si>
    <t>4./33</t>
  </si>
  <si>
    <t>Landorhegyi út - Egry J.u. összekötő lépcső felújítása</t>
  </si>
  <si>
    <t>4./34</t>
  </si>
  <si>
    <t>Sas utca félpályás útburkolat felújítása közműcsere után</t>
  </si>
  <si>
    <t>4./35</t>
  </si>
  <si>
    <t>Hegyalja u. járdafelújítás</t>
  </si>
  <si>
    <t>4./36</t>
  </si>
  <si>
    <t>Hosszú-jánka 23201/1 hrsz-ra merőleges út felújítása</t>
  </si>
  <si>
    <t>4./37</t>
  </si>
  <si>
    <t>Erkel F.u. járdaburkolat felújítása</t>
  </si>
  <si>
    <t>4./38</t>
  </si>
  <si>
    <t>Csendes u. burkolat felújítási munkálatok</t>
  </si>
  <si>
    <t>4./39</t>
  </si>
  <si>
    <t>Balatoni út-Bozsoki u. járdafelújítás</t>
  </si>
  <si>
    <t>4./40</t>
  </si>
  <si>
    <t>Hosszú-hegyi út felújítása</t>
  </si>
  <si>
    <t>4./41</t>
  </si>
  <si>
    <t>Mezőgazdasági utak felújításához pályázati önrész</t>
  </si>
  <si>
    <t>4.a./1</t>
  </si>
  <si>
    <t>4.a./2</t>
  </si>
  <si>
    <t>4.a./3</t>
  </si>
  <si>
    <t>4.a./4</t>
  </si>
  <si>
    <t>4.a./5</t>
  </si>
  <si>
    <t>4.a./6</t>
  </si>
  <si>
    <t>4.a./7</t>
  </si>
  <si>
    <t>4.a./8</t>
  </si>
  <si>
    <t>4.a./9</t>
  </si>
  <si>
    <t>4.a./10</t>
  </si>
  <si>
    <t>4.a./11</t>
  </si>
  <si>
    <t xml:space="preserve">Andráshidán járdák felújítása </t>
  </si>
  <si>
    <t>4.a./12</t>
  </si>
  <si>
    <t>Landorhegyi Integrált Óvoda és az Öveges ÁMK Óvoda játszótéri eszközeinek javítása</t>
  </si>
  <si>
    <t>Szenterzsébethegyen közösségi terület rendezése, padok beszerzése</t>
  </si>
  <si>
    <t>Belvárosi zöldfelület és játszótér felújítások</t>
  </si>
  <si>
    <t>8.a/1.</t>
  </si>
  <si>
    <t>Göcseji úti temetőben ravatalozó bejárati ajtó felújítása</t>
  </si>
  <si>
    <t>Pózva Közösségi házak felújítása</t>
  </si>
  <si>
    <t xml:space="preserve">Városépítészeti feladatok </t>
  </si>
  <si>
    <t>Andráshidai templom felújításához pe.átadás</t>
  </si>
  <si>
    <t>Költségvetési szervek felújítási kerete (Vis maior)</t>
  </si>
  <si>
    <t>18./1.</t>
  </si>
  <si>
    <t>18./2.</t>
  </si>
  <si>
    <t>18./3.</t>
  </si>
  <si>
    <t>18./4.</t>
  </si>
  <si>
    <t>20./4.</t>
  </si>
  <si>
    <t>20./5.</t>
  </si>
  <si>
    <t>21./1.</t>
  </si>
  <si>
    <t>21./2.</t>
  </si>
  <si>
    <t>21./3.</t>
  </si>
  <si>
    <t>1.) Költségvetési szervek kiadásai</t>
  </si>
  <si>
    <t>2.) Önkormányzat szakosztályainak  kiadásai</t>
  </si>
  <si>
    <t>ebből: átvállalt működési célú hitel törlesztése</t>
  </si>
  <si>
    <t>3.) Támogatásértékű kiadás és végleges pe.átadás műk.célra (költségvetési szervek nélkül)</t>
  </si>
  <si>
    <t>7.) Működési hitel felvétele</t>
  </si>
  <si>
    <t>7.) Pénzforgalom nélküli kiadás</t>
  </si>
  <si>
    <t>8.) Előző évek pénzmaradványa</t>
  </si>
  <si>
    <t>9.) Vállalkozási eredmény</t>
  </si>
  <si>
    <t xml:space="preserve">                        - költségvetési szervek</t>
  </si>
  <si>
    <t xml:space="preserve">         ebből: költségvetési szervek</t>
  </si>
  <si>
    <t>ÖNKORMÁNYZAT ÖSSZESEN:</t>
  </si>
  <si>
    <t>Hozzájárulás jogcíme</t>
  </si>
  <si>
    <t>létszám</t>
  </si>
  <si>
    <t>mutató</t>
  </si>
  <si>
    <t>Normatíva     Ft/fő</t>
  </si>
  <si>
    <t>Hozzájárulás       ezer Ft-ban</t>
  </si>
  <si>
    <t>1. Óvodai nevelés  1-3. nevelési év</t>
  </si>
  <si>
    <t xml:space="preserve">                                                               2011. ősztől</t>
  </si>
  <si>
    <t xml:space="preserve">                                                               2012. ősztől</t>
  </si>
  <si>
    <t>421100 Út, autópálya építése</t>
  </si>
  <si>
    <t xml:space="preserve"> - Csáfordi forduló burkolat felújításhoz lakossági befizetés </t>
  </si>
  <si>
    <t xml:space="preserve"> - MOL Nyrt. adománya buszmegálló építéséhez</t>
  </si>
  <si>
    <t>421100 Út, autópálya építés</t>
  </si>
  <si>
    <t xml:space="preserve"> - Bíbor u. - Hock J. u.közlekedési csomópont átépítése pályázati tám. NYDOP-4.3.I/C 2-09-2010-0005</t>
  </si>
  <si>
    <t xml:space="preserve"> - Hiányzó kerékpárút-kapcsolati elemek létrehozása Zalaegerszegen (NYDOP-4.3.1/B-11-2011-0006)</t>
  </si>
  <si>
    <t>889101 Bölcsődei ellátás</t>
  </si>
  <si>
    <t xml:space="preserve"> - Zalaegerszeg, Űrhajós úti tagbölcsőde fejlesztése ( NYDOP-5.1.1/B-2012-0001)</t>
  </si>
  <si>
    <t>681000 Saját tulajdonú ingatlan adásvétele</t>
  </si>
  <si>
    <t xml:space="preserve"> - cserével vegyes ingatlanszerződések</t>
  </si>
  <si>
    <t>Lakásalappal kapcsolatos bevételek</t>
  </si>
  <si>
    <t xml:space="preserve"> - lakásalap előző évek tartaléka</t>
  </si>
  <si>
    <t xml:space="preserve"> - lakásalap 2011. évi pénzmaradványa</t>
  </si>
  <si>
    <t xml:space="preserve"> - egyéb központi támogatás</t>
  </si>
  <si>
    <t xml:space="preserve"> - előző évek tartaléka</t>
  </si>
  <si>
    <t>841126  Önkorm.és társulása által végreh. igazgatási  tevékenysége</t>
  </si>
  <si>
    <t xml:space="preserve"> - folyószámla kamata</t>
  </si>
  <si>
    <t>882111 Aktiv korúak ellátása (szoc.segély)</t>
  </si>
  <si>
    <t xml:space="preserve"> - adósságkezelés lakásfenntartási támogatás</t>
  </si>
  <si>
    <t>862102 Háziorvosi ügyeleti ellátás</t>
  </si>
  <si>
    <t xml:space="preserve"> - ügyeleti ellátás támogatása</t>
  </si>
  <si>
    <t>889924 Családsegítés</t>
  </si>
  <si>
    <t xml:space="preserve"> - Családsegítő Szolgálathoz krízissegélyezés</t>
  </si>
  <si>
    <t>873011 Időskorúak tartós bentlakásos szociális ellátása</t>
  </si>
  <si>
    <t xml:space="preserve"> -  Idősek Otthona férőhely megváltás visszafizetés</t>
  </si>
  <si>
    <t xml:space="preserve">889942  Önkorm.által nyújtott lakástámogatás </t>
  </si>
  <si>
    <t xml:space="preserve"> - lakásalapból kamatmentes kölcsön az ideiglenesen nehéz helyzetbe került zeg-i polgárok számára</t>
  </si>
  <si>
    <t>Címzett adórészből támogatás</t>
  </si>
  <si>
    <t xml:space="preserve"> - Zeg-i Egészségnevelők Alapítványa  (Kék vonal)</t>
  </si>
  <si>
    <t xml:space="preserve"> - ZTE FC Rt. támog. </t>
  </si>
  <si>
    <t xml:space="preserve"> - DO rendezvények lebonyolítása</t>
  </si>
  <si>
    <t xml:space="preserve"> - ZTE FC (műfüves pálya 2 db kispad, 2 db 200-200 fős mobil lelátó)</t>
  </si>
  <si>
    <t>kgy,pm</t>
  </si>
  <si>
    <t xml:space="preserve"> - köztéri  padok</t>
  </si>
  <si>
    <t>pm</t>
  </si>
  <si>
    <t>841154 Önk-i vagyonnal való gazdálkodáshoz kapcs. fa.</t>
  </si>
  <si>
    <t xml:space="preserve"> - helyi utak, hidak fenntartása</t>
  </si>
  <si>
    <t xml:space="preserve"> - hibaelhárítás, Vis maior jellegű feladatok</t>
  </si>
  <si>
    <t xml:space="preserve"> - hóeltakarítás, sikosságmentesítés</t>
  </si>
  <si>
    <t>kgy, pm</t>
  </si>
  <si>
    <t xml:space="preserve"> - Ökováros program egyéb kiadások </t>
  </si>
  <si>
    <t xml:space="preserve">  -  környezetvéd.alap feltöltése</t>
  </si>
  <si>
    <t xml:space="preserve"> - VG Kft. szerződéses munkák</t>
  </si>
  <si>
    <t xml:space="preserve"> -  Társasházi és lakásszövetkezeti lakóépületek felújításának támogatása (45/2007.Önk.rendelet) (Lakásalap)</t>
  </si>
  <si>
    <t>360000 Víztermelés, -kezelés, -ellátás</t>
  </si>
  <si>
    <t xml:space="preserve"> - települési vízellátás</t>
  </si>
  <si>
    <t xml:space="preserve"> - ÁFA befizetés</t>
  </si>
  <si>
    <t>581400 Folyóirat, időszaki kiadvány kiadása</t>
  </si>
  <si>
    <t xml:space="preserve"> - városi újság támogatása</t>
  </si>
  <si>
    <t xml:space="preserve"> - Z.M.Rendőr-főkapitányság működési tám. közterületi kamerarsz. felügyeletéhez</t>
  </si>
  <si>
    <t xml:space="preserve">Közgyűlés által létrehozott alapítványok támogatása </t>
  </si>
  <si>
    <t xml:space="preserve"> - Rendezvények, kommunikáció, reprezentáció</t>
  </si>
  <si>
    <t xml:space="preserve"> - idegenforgalmi feladatok</t>
  </si>
  <si>
    <t xml:space="preserve"> - Településrészi Önkormányzatok</t>
  </si>
  <si>
    <t xml:space="preserve"> - Polgármesteri keret</t>
  </si>
  <si>
    <t xml:space="preserve"> - Alpolgármesteri keretek</t>
  </si>
  <si>
    <t xml:space="preserve"> - Foglalkoztatás támogatása, munkaerőkölcsönzés</t>
  </si>
  <si>
    <t>Teljesítmény ösztönző keret</t>
  </si>
  <si>
    <t>Mozgóbérkeret (Kiemelt munkavégzésért járó keresetkieg.)</t>
  </si>
  <si>
    <t>Kötött felhasználású  állami támogatások</t>
  </si>
  <si>
    <t>Szociális rászorultság alapján és egyéb biztosítandó támogatások oktatási intézmények részére</t>
  </si>
  <si>
    <t xml:space="preserve">        címpótlék a szociális intézményekben</t>
  </si>
  <si>
    <t>Támogatott lakások elkülönített lakbérbev.</t>
  </si>
  <si>
    <t>4./42</t>
  </si>
  <si>
    <t>Gárdonyi G.u. felújítása</t>
  </si>
  <si>
    <t>4./43</t>
  </si>
  <si>
    <t>OTP mögötti parkoló burkolat felújítása</t>
  </si>
  <si>
    <t>kgy, biz.</t>
  </si>
  <si>
    <t>Zalabesenyőben buszváró létesítése MOL Nyrt. adomány felhasználásával</t>
  </si>
  <si>
    <t>9./11</t>
  </si>
  <si>
    <t xml:space="preserve"> - Hiányzó kerékpárút-kapcsolati elemek létrehozása Zalaegerszegen (NYDOP-4.3.I/B-11-2011-0006) eredeti ktv-ben kerékpárutak pályázathoz önerő (4 nyomvonal)</t>
  </si>
  <si>
    <t>6.1./4</t>
  </si>
  <si>
    <t>Önk-i intézmények épületenergetikai audit készítés, pályázat megvalósíthatósági tan.előkészítésére</t>
  </si>
  <si>
    <t xml:space="preserve"> - Zalaegerszeg, Űrhajós úti tagbölcsőde fejlesztése ( NYDOP-5.1.1/B-2012-0001) eredeti ktv-ben: Űrhajós bölcsőde fejlesztése</t>
  </si>
  <si>
    <t>Cserével vegyes ingatlanszerződések</t>
  </si>
  <si>
    <t>Településrészi Önkormányzatok keretéből felhalmozási célú pe.átadás</t>
  </si>
  <si>
    <t>Jogi és igazgatási feladatok műk.kiadások összesen:</t>
  </si>
  <si>
    <t>889967 Mozgáskorlátozottak gépjármű szerelési és átalakítási tám.</t>
  </si>
  <si>
    <t xml:space="preserve"> - Andráshidai LSC kamatmentes kölcsön törlesztése</t>
  </si>
  <si>
    <t xml:space="preserve"> - Andráshidai LSC kamatmentes kölcsön</t>
  </si>
  <si>
    <t xml:space="preserve"> - Kábítószerügyi Egyeztető Fórum </t>
  </si>
  <si>
    <t xml:space="preserve"> - Kábítószerügyi Egyeztető Fórum támogatása</t>
  </si>
  <si>
    <t>II. negyedévi módosítás összege</t>
  </si>
  <si>
    <t>Egészségügyi GESZ</t>
  </si>
  <si>
    <t>2. Iskolai oktatás</t>
  </si>
  <si>
    <t xml:space="preserve">    - Alapfokú nevelés-oktatás   1-4. évfolyam</t>
  </si>
  <si>
    <t xml:space="preserve">                                     1-2. évfoly.        2011. ősztől</t>
  </si>
  <si>
    <t xml:space="preserve">                                   3. évfoly.             2011. ősztől</t>
  </si>
  <si>
    <t xml:space="preserve">                                  4. évfoly.              2011. ősztől</t>
  </si>
  <si>
    <t xml:space="preserve">                   5-6. évfolyam                      2011. ősztől</t>
  </si>
  <si>
    <t xml:space="preserve">              7-8. évfolyam.                          2011. ősztől</t>
  </si>
  <si>
    <t xml:space="preserve">    -  Iskolai oktatás   9- 13. évfolyamon</t>
  </si>
  <si>
    <t xml:space="preserve">                                   9-10. évfoly.                       2011. ősztől</t>
  </si>
  <si>
    <t xml:space="preserve">                                                                               2012. ősztől</t>
  </si>
  <si>
    <t xml:space="preserve">                              11-13. évfoly.           2011. ősztől</t>
  </si>
  <si>
    <t xml:space="preserve"> -Szakképzés, elméleti képzés felzárkóztató 9. évf.,szakiskola 11.  és szakközépiskola 13.évfoly.                                                </t>
  </si>
  <si>
    <t xml:space="preserve">    - szakmai gyakorlati képzés a szakképzési évfolyamokon</t>
  </si>
  <si>
    <t>egyévfolyamos képzés, valamint többévfolyamos képzés második szakképzési évfolyam, speciális szakiskola</t>
  </si>
  <si>
    <t xml:space="preserve">      - első képzési év az egyévfolyamot meghaladó képzés esetén </t>
  </si>
  <si>
    <t xml:space="preserve">                        - utolsó képzési év az egyévfolyamot meghaladó képzésnél                                                 </t>
  </si>
  <si>
    <t xml:space="preserve">                        - Tanuló szerződés alapján                        </t>
  </si>
  <si>
    <t xml:space="preserve">                        -  gyakorlati oktatás  szakiskolában és szakközépiskolában                9-10. évfolyamon    </t>
  </si>
  <si>
    <t>3. Sajátos nevelési igényű gyermekek, tanulók nevelése, oktatása</t>
  </si>
  <si>
    <t xml:space="preserve">          - rehab.bizottság vagy orvosi igazolás alapján magántanuló        </t>
  </si>
  <si>
    <t xml:space="preserve">         - testi,érzékszervi,középsúlyos autista tanuló</t>
  </si>
  <si>
    <t xml:space="preserve">         - beszéd- és enyhe értelmi fogyatékos sajátos nevelési igényű</t>
  </si>
  <si>
    <t xml:space="preserve"> - a megismerő funkció vagy a viselkedés fejlődésének tartós és súlyos, vagy súlyos rendellenessége miattt sajátos nevelési igényű</t>
  </si>
  <si>
    <t xml:space="preserve">                                                               2011. ősztől </t>
  </si>
  <si>
    <t>4. Alapfokú művészeti oktatás</t>
  </si>
  <si>
    <t xml:space="preserve">             - Zenei                                                                      </t>
  </si>
  <si>
    <t xml:space="preserve">                                                               2010. ősztől</t>
  </si>
</sst>
</file>

<file path=xl/styles.xml><?xml version="1.0" encoding="utf-8"?>
<styleSheet xmlns="http://schemas.openxmlformats.org/spreadsheetml/2006/main">
  <numFmts count="6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hh:mm"/>
    <numFmt numFmtId="169" formatCode="hh:mm:ss"/>
    <numFmt numFmtId="170" formatCode="yyyy/mm/dd\ hh:mm"/>
    <numFmt numFmtId="171" formatCode="0\1\40\2\3"/>
    <numFmt numFmtId="172" formatCode="0\20\2\1\5"/>
    <numFmt numFmtId="173" formatCode="0\1\40\3\4"/>
    <numFmt numFmtId="174" formatCode="0##,###"/>
    <numFmt numFmtId="175" formatCode="0.0"/>
    <numFmt numFmtId="176" formatCode="_-* #,##0.000\ &quot;Ft&quot;_-;\-* #,##0.000\ &quot;Ft&quot;_-;_-* &quot;-&quot;??\ &quot;Ft&quot;_-;_-@_-"/>
    <numFmt numFmtId="177" formatCode="00.0"/>
    <numFmt numFmtId="178" formatCode="\4\4.\7"/>
    <numFmt numFmtId="179" formatCode="#,##0.0"/>
    <numFmt numFmtId="180" formatCode="0.000"/>
    <numFmt numFmtId="181" formatCode="##.###"/>
    <numFmt numFmtId="182" formatCode="#,###.###"/>
    <numFmt numFmtId="183" formatCode="######.#"/>
    <numFmt numFmtId="184" formatCode="0."/>
    <numFmt numFmtId="185" formatCode="0.00,"/>
    <numFmt numFmtId="186" formatCode="\ 0.0"/>
    <numFmt numFmtId="187" formatCode="#,##0.000"/>
    <numFmt numFmtId="188" formatCode="0.00;[Red]0.00"/>
    <numFmt numFmtId="189" formatCode="#,##0.00;[Red]#,##0.00"/>
    <numFmt numFmtId="190" formatCode="&quot;H-&quot;0000"/>
    <numFmt numFmtId="191" formatCode="0.0000"/>
    <numFmt numFmtId="192" formatCode="#,##0;0;"/>
    <numFmt numFmtId="193" formatCode="#,##0;\-#,##0;"/>
    <numFmt numFmtId="194" formatCode="00000000\-0\-00"/>
    <numFmt numFmtId="195" formatCode="0.0%"/>
    <numFmt numFmtId="196" formatCode="#,##0.0000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[$-40E]mmmm\ d\.;@"/>
    <numFmt numFmtId="201" formatCode="_-* #,##0.0\ _F_t_-;\-* #,##0.0\ _F_t_-;_-* &quot;-&quot;??\ _F_t_-;_-@_-"/>
    <numFmt numFmtId="202" formatCode="_-* #,##0\ _F_t_-;\-* #,##0\ _F_t_-;_-* &quot;-&quot;??\ _F_t_-;_-@_-"/>
    <numFmt numFmtId="203" formatCode="&quot;SFr.&quot;\ #,##0;&quot;SFr.&quot;\ \-#,##0"/>
    <numFmt numFmtId="204" formatCode="&quot;SFr.&quot;\ #,##0;[Red]&quot;SFr.&quot;\ \-#,##0"/>
    <numFmt numFmtId="205" formatCode="&quot;SFr.&quot;\ #,##0.00;&quot;SFr.&quot;\ \-#,##0.00"/>
    <numFmt numFmtId="206" formatCode="&quot;SFr.&quot;\ #,##0.00;[Red]&quot;SFr.&quot;\ \-#,##0.00"/>
    <numFmt numFmtId="207" formatCode="_ &quot;SFr.&quot;\ * #,##0_ ;_ &quot;SFr.&quot;\ * \-#,##0_ ;_ &quot;SFr.&quot;\ * &quot;-&quot;_ ;_ @_ "/>
    <numFmt numFmtId="208" formatCode="_ * #,##0_ ;_ * \-#,##0_ ;_ * &quot;-&quot;_ ;_ @_ "/>
    <numFmt numFmtId="209" formatCode="_ &quot;SFr.&quot;\ * #,##0.00_ ;_ &quot;SFr.&quot;\ * \-#,##0.00_ ;_ &quot;SFr.&quot;\ * &quot;-&quot;??_ ;_ @_ "/>
    <numFmt numFmtId="210" formatCode="_ * #,##0.00_ ;_ * \-#,##0.00_ ;_ * &quot;-&quot;??_ ;_ @_ "/>
    <numFmt numFmtId="211" formatCode="_-* #,##0.000\ &quot;SFr.&quot;_-;\-* #,##0.000\ &quot;SFr.&quot;_-;_-* &quot;-&quot;??\ &quot;SFr.&quot;_-;_-@_-"/>
    <numFmt numFmtId="212" formatCode="_-* #,##0.000\ _F_t_-;\-* #,##0.000\ _F_t_-;_-* &quot;-&quot;??\ _F_t_-;_-@_-"/>
    <numFmt numFmtId="213" formatCode="#,##0\ &quot;Ft&quot;"/>
    <numFmt numFmtId="214" formatCode="0000000\-0"/>
    <numFmt numFmtId="215" formatCode="&quot;€&quot;#,##0;\-&quot;€&quot;#,##0"/>
    <numFmt numFmtId="216" formatCode="&quot;€&quot;#,##0;[Red]\-&quot;€&quot;#,##0"/>
    <numFmt numFmtId="217" formatCode="&quot;€&quot;#,##0.00;\-&quot;€&quot;#,##0.00"/>
    <numFmt numFmtId="218" formatCode="&quot;€&quot;#,##0.00;[Red]\-&quot;€&quot;#,##0.00"/>
    <numFmt numFmtId="219" formatCode="_-&quot;€&quot;* #,##0_-;\-&quot;€&quot;* #,##0_-;_-&quot;€&quot;* &quot;-&quot;_-;_-@_-"/>
    <numFmt numFmtId="220" formatCode="_-* #,##0_-;\-* #,##0_-;_-* &quot;-&quot;_-;_-@_-"/>
    <numFmt numFmtId="221" formatCode="_-&quot;€&quot;* #,##0.00_-;\-&quot;€&quot;* #,##0.00_-;_-&quot;€&quot;* &quot;-&quot;??_-;_-@_-"/>
    <numFmt numFmtId="222" formatCode="_-* #,##0.00_-;\-* #,##0.00_-;_-* &quot;-&quot;??_-;_-@_-"/>
    <numFmt numFmtId="223" formatCode="[$-40E]yyyy\.\ mmmm\ d\."/>
    <numFmt numFmtId="224" formatCode="[$-40E]mmm/\ d\.;@"/>
  </numFmts>
  <fonts count="50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name val="Arial CE"/>
      <family val="0"/>
    </font>
    <font>
      <sz val="10"/>
      <name val="MS Sans Serif"/>
      <family val="0"/>
    </font>
    <font>
      <sz val="9"/>
      <name val="Arial CE"/>
      <family val="2"/>
    </font>
    <font>
      <b/>
      <i/>
      <sz val="9"/>
      <name val="Arial C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i/>
      <sz val="10"/>
      <name val="MS Sans Serif"/>
      <family val="0"/>
    </font>
    <font>
      <i/>
      <sz val="10"/>
      <name val="MS Sans Serif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8"/>
      <name val="Arial CE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9"/>
      <name val="MS Sans Serif"/>
      <family val="0"/>
    </font>
    <font>
      <i/>
      <sz val="9"/>
      <name val="Arial CE"/>
      <family val="2"/>
    </font>
    <font>
      <sz val="10"/>
      <color indexed="9"/>
      <name val="Arial CE"/>
      <family val="2"/>
    </font>
    <font>
      <sz val="8"/>
      <name val="Times New Roman"/>
      <family val="1"/>
    </font>
    <font>
      <i/>
      <sz val="8"/>
      <name val="Arial CE"/>
      <family val="2"/>
    </font>
    <font>
      <sz val="8"/>
      <name val="Times New Roman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i/>
      <sz val="1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6" fillId="4" borderId="0" applyNumberFormat="0" applyBorder="0" applyAlignment="0" applyProtection="0"/>
    <xf numFmtId="0" fontId="37" fillId="22" borderId="8" applyNumberFormat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1" fillId="23" borderId="0" applyNumberFormat="0" applyBorder="0" applyAlignment="0" applyProtection="0"/>
    <xf numFmtId="0" fontId="42" fillId="22" borderId="1" applyNumberFormat="0" applyAlignment="0" applyProtection="0"/>
    <xf numFmtId="9" fontId="0" fillId="0" borderId="0" applyFont="0" applyFill="0" applyBorder="0" applyAlignment="0" applyProtection="0"/>
  </cellStyleXfs>
  <cellXfs count="915">
    <xf numFmtId="0" fontId="0" fillId="0" borderId="0" xfId="0" applyAlignment="1">
      <alignment/>
    </xf>
    <xf numFmtId="0" fontId="12" fillId="4" borderId="10" xfId="68" applyFont="1" applyFill="1" applyBorder="1" applyAlignment="1">
      <alignment vertical="center"/>
      <protection/>
    </xf>
    <xf numFmtId="0" fontId="12" fillId="4" borderId="11" xfId="68" applyFont="1" applyFill="1" applyBorder="1" applyAlignment="1">
      <alignment vertical="center"/>
      <protection/>
    </xf>
    <xf numFmtId="0" fontId="5" fillId="0" borderId="0" xfId="57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5" fillId="0" borderId="0" xfId="57">
      <alignment/>
      <protection/>
    </xf>
    <xf numFmtId="0" fontId="9" fillId="4" borderId="11" xfId="68" applyFont="1" applyFill="1" applyBorder="1" applyAlignment="1">
      <alignment vertical="center"/>
      <protection/>
    </xf>
    <xf numFmtId="0" fontId="9" fillId="4" borderId="12" xfId="68" applyFont="1" applyFill="1" applyBorder="1" applyAlignment="1">
      <alignment vertical="center"/>
      <protection/>
    </xf>
    <xf numFmtId="0" fontId="8" fillId="0" borderId="0" xfId="57" applyFont="1">
      <alignment/>
      <protection/>
    </xf>
    <xf numFmtId="0" fontId="9" fillId="4" borderId="13" xfId="68" applyFont="1" applyFill="1" applyBorder="1" applyAlignment="1">
      <alignment horizontal="center" vertical="center" wrapText="1"/>
      <protection/>
    </xf>
    <xf numFmtId="0" fontId="9" fillId="4" borderId="14" xfId="68" applyFont="1" applyFill="1" applyBorder="1" applyAlignment="1">
      <alignment horizontal="center" vertical="center" wrapText="1"/>
      <protection/>
    </xf>
    <xf numFmtId="0" fontId="8" fillId="0" borderId="15" xfId="68" applyFont="1" applyBorder="1" applyAlignment="1">
      <alignment horizontal="center" vertical="center"/>
      <protection/>
    </xf>
    <xf numFmtId="0" fontId="9" fillId="4" borderId="15" xfId="68" applyFont="1" applyFill="1" applyBorder="1" applyAlignment="1">
      <alignment horizontal="center" vertical="center"/>
      <protection/>
    </xf>
    <xf numFmtId="0" fontId="8" fillId="4" borderId="15" xfId="68" applyFont="1" applyFill="1" applyBorder="1" applyAlignment="1">
      <alignment horizontal="center" vertical="center"/>
      <protection/>
    </xf>
    <xf numFmtId="0" fontId="9" fillId="4" borderId="16" xfId="68" applyFont="1" applyFill="1" applyBorder="1" applyAlignment="1">
      <alignment horizontal="centerContinuous" vertical="center"/>
      <protection/>
    </xf>
    <xf numFmtId="0" fontId="9" fillId="4" borderId="17" xfId="68" applyFont="1" applyFill="1" applyBorder="1" applyAlignment="1">
      <alignment horizontal="centerContinuous" vertical="center"/>
      <protection/>
    </xf>
    <xf numFmtId="0" fontId="9" fillId="4" borderId="18" xfId="68" applyFont="1" applyFill="1" applyBorder="1" applyAlignment="1">
      <alignment horizontal="centerContinuous" vertical="center"/>
      <protection/>
    </xf>
    <xf numFmtId="0" fontId="9" fillId="4" borderId="14" xfId="68" applyFont="1" applyFill="1" applyBorder="1" applyAlignment="1">
      <alignment horizontal="center" vertical="center"/>
      <protection/>
    </xf>
    <xf numFmtId="0" fontId="9" fillId="4" borderId="19" xfId="68" applyFont="1" applyFill="1" applyBorder="1" applyAlignment="1">
      <alignment horizontal="center" vertical="center" wrapText="1"/>
      <protection/>
    </xf>
    <xf numFmtId="0" fontId="9" fillId="4" borderId="20" xfId="68" applyFont="1" applyFill="1" applyBorder="1" applyAlignment="1">
      <alignment horizontal="center" vertical="center" wrapText="1"/>
      <protection/>
    </xf>
    <xf numFmtId="0" fontId="9" fillId="0" borderId="15" xfId="68" applyFont="1" applyBorder="1" applyAlignment="1">
      <alignment vertical="center"/>
      <protection/>
    </xf>
    <xf numFmtId="0" fontId="8" fillId="0" borderId="15" xfId="68" applyFont="1" applyBorder="1" applyAlignment="1">
      <alignment vertical="center"/>
      <protection/>
    </xf>
    <xf numFmtId="3" fontId="8" fillId="0" borderId="15" xfId="68" applyNumberFormat="1" applyFont="1" applyBorder="1" applyAlignment="1">
      <alignment vertical="center"/>
      <protection/>
    </xf>
    <xf numFmtId="0" fontId="9" fillId="4" borderId="15" xfId="68" applyFont="1" applyFill="1" applyBorder="1" applyAlignment="1">
      <alignment vertical="center"/>
      <protection/>
    </xf>
    <xf numFmtId="3" fontId="9" fillId="4" borderId="15" xfId="68" applyNumberFormat="1" applyFont="1" applyFill="1" applyBorder="1" applyAlignment="1">
      <alignment vertical="center"/>
      <protection/>
    </xf>
    <xf numFmtId="3" fontId="8" fillId="0" borderId="21" xfId="68" applyNumberFormat="1" applyFont="1" applyBorder="1" applyAlignment="1">
      <alignment vertical="center"/>
      <protection/>
    </xf>
    <xf numFmtId="0" fontId="8" fillId="0" borderId="15" xfId="68" applyFont="1" applyBorder="1" applyAlignment="1">
      <alignment vertical="center" wrapText="1"/>
      <protection/>
    </xf>
    <xf numFmtId="3" fontId="1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15" fillId="0" borderId="15" xfId="70" applyNumberFormat="1" applyFont="1" applyFill="1" applyBorder="1" applyAlignment="1">
      <alignment horizontal="center" vertical="center" wrapText="1"/>
      <protection/>
    </xf>
    <xf numFmtId="3" fontId="14" fillId="0" borderId="22" xfId="70" applyNumberFormat="1" applyFont="1" applyFill="1" applyBorder="1" applyAlignment="1">
      <alignment vertical="center"/>
      <protection/>
    </xf>
    <xf numFmtId="3" fontId="15" fillId="0" borderId="23" xfId="0" applyNumberFormat="1" applyFont="1" applyBorder="1" applyAlignment="1">
      <alignment vertical="center"/>
    </xf>
    <xf numFmtId="3" fontId="14" fillId="0" borderId="15" xfId="70" applyNumberFormat="1" applyFont="1" applyFill="1" applyBorder="1" applyAlignment="1">
      <alignment horizontal="center" vertical="center" wrapText="1"/>
      <protection/>
    </xf>
    <xf numFmtId="3" fontId="15" fillId="0" borderId="15" xfId="70" applyNumberFormat="1" applyFont="1" applyBorder="1" applyAlignment="1">
      <alignment horizontal="center" vertical="center"/>
      <protection/>
    </xf>
    <xf numFmtId="3" fontId="15" fillId="0" borderId="15" xfId="70" applyNumberFormat="1" applyFont="1" applyBorder="1" applyAlignment="1">
      <alignment horizontal="right" vertical="center"/>
      <protection/>
    </xf>
    <xf numFmtId="3" fontId="15" fillId="0" borderId="15" xfId="70" applyNumberFormat="1" applyFont="1" applyBorder="1" applyAlignment="1">
      <alignment vertical="center"/>
      <protection/>
    </xf>
    <xf numFmtId="3" fontId="15" fillId="0" borderId="15" xfId="70" applyNumberFormat="1" applyFont="1" applyFill="1" applyBorder="1" applyAlignment="1">
      <alignment horizontal="center" vertical="center"/>
      <protection/>
    </xf>
    <xf numFmtId="3" fontId="15" fillId="0" borderId="15" xfId="70" applyNumberFormat="1" applyFont="1" applyFill="1" applyBorder="1" applyAlignment="1">
      <alignment horizontal="right" vertical="center"/>
      <protection/>
    </xf>
    <xf numFmtId="3" fontId="15" fillId="0" borderId="15" xfId="70" applyNumberFormat="1" applyFont="1" applyFill="1" applyBorder="1" applyAlignment="1">
      <alignment vertical="center"/>
      <protection/>
    </xf>
    <xf numFmtId="3" fontId="14" fillId="4" borderId="15" xfId="70" applyNumberFormat="1" applyFont="1" applyFill="1" applyBorder="1" applyAlignment="1">
      <alignment horizontal="right" vertical="center"/>
      <protection/>
    </xf>
    <xf numFmtId="3" fontId="14" fillId="0" borderId="15" xfId="70" applyNumberFormat="1" applyFont="1" applyFill="1" applyBorder="1" applyAlignment="1">
      <alignment horizontal="center" vertical="center"/>
      <protection/>
    </xf>
    <xf numFmtId="3" fontId="15" fillId="0" borderId="24" xfId="70" applyNumberFormat="1" applyFont="1" applyFill="1" applyBorder="1" applyAlignment="1">
      <alignment vertical="center"/>
      <protection/>
    </xf>
    <xf numFmtId="3" fontId="14" fillId="0" borderId="15" xfId="70" applyNumberFormat="1" applyFont="1" applyFill="1" applyBorder="1" applyAlignment="1">
      <alignment horizontal="right" vertical="center"/>
      <protection/>
    </xf>
    <xf numFmtId="3" fontId="14" fillId="0" borderId="24" xfId="70" applyNumberFormat="1" applyFont="1" applyFill="1" applyBorder="1" applyAlignment="1">
      <alignment vertical="center"/>
      <protection/>
    </xf>
    <xf numFmtId="3" fontId="14" fillId="0" borderId="25" xfId="70" applyNumberFormat="1" applyFont="1" applyFill="1" applyBorder="1" applyAlignment="1">
      <alignment horizontal="left" vertical="center"/>
      <protection/>
    </xf>
    <xf numFmtId="3" fontId="15" fillId="0" borderId="15" xfId="0" applyNumberFormat="1" applyFont="1" applyFill="1" applyBorder="1" applyAlignment="1">
      <alignment horizontal="center" vertical="center"/>
    </xf>
    <xf numFmtId="3" fontId="15" fillId="0" borderId="25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3" fontId="14" fillId="4" borderId="15" xfId="0" applyNumberFormat="1" applyFont="1" applyFill="1" applyBorder="1" applyAlignment="1">
      <alignment horizontal="center" vertical="center"/>
    </xf>
    <xf numFmtId="3" fontId="14" fillId="4" borderId="24" xfId="0" applyNumberFormat="1" applyFont="1" applyFill="1" applyBorder="1" applyAlignment="1">
      <alignment vertical="center"/>
    </xf>
    <xf numFmtId="3" fontId="14" fillId="4" borderId="25" xfId="0" applyNumberFormat="1" applyFont="1" applyFill="1" applyBorder="1" applyAlignment="1">
      <alignment vertical="center"/>
    </xf>
    <xf numFmtId="3" fontId="14" fillId="4" borderId="15" xfId="0" applyNumberFormat="1" applyFont="1" applyFill="1" applyBorder="1" applyAlignment="1">
      <alignment vertical="center"/>
    </xf>
    <xf numFmtId="3" fontId="15" fillId="0" borderId="0" xfId="0" applyNumberFormat="1" applyFont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3" fontId="14" fillId="0" borderId="24" xfId="0" applyNumberFormat="1" applyFont="1" applyFill="1" applyBorder="1" applyAlignment="1">
      <alignment vertical="center"/>
    </xf>
    <xf numFmtId="3" fontId="14" fillId="0" borderId="25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vertical="center"/>
    </xf>
    <xf numFmtId="3" fontId="19" fillId="24" borderId="15" xfId="70" applyNumberFormat="1" applyFont="1" applyFill="1" applyBorder="1" applyAlignment="1">
      <alignment horizontal="center" vertical="top" wrapText="1"/>
      <protection/>
    </xf>
    <xf numFmtId="3" fontId="19" fillId="24" borderId="15" xfId="70" applyNumberFormat="1" applyFont="1" applyFill="1" applyBorder="1" applyAlignment="1">
      <alignment horizontal="center" vertical="center" wrapText="1"/>
      <protection/>
    </xf>
    <xf numFmtId="3" fontId="14" fillId="0" borderId="25" xfId="0" applyNumberFormat="1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horizontal="left" vertical="center"/>
    </xf>
    <xf numFmtId="3" fontId="14" fillId="24" borderId="15" xfId="0" applyNumberFormat="1" applyFont="1" applyFill="1" applyBorder="1" applyAlignment="1">
      <alignment horizontal="center" vertical="center"/>
    </xf>
    <xf numFmtId="3" fontId="14" fillId="24" borderId="15" xfId="0" applyNumberFormat="1" applyFont="1" applyFill="1" applyBorder="1" applyAlignment="1">
      <alignment vertical="center"/>
    </xf>
    <xf numFmtId="3" fontId="14" fillId="4" borderId="24" xfId="0" applyNumberFormat="1" applyFont="1" applyFill="1" applyBorder="1" applyAlignment="1">
      <alignment horizontal="left" vertical="center"/>
    </xf>
    <xf numFmtId="3" fontId="9" fillId="4" borderId="24" xfId="0" applyNumberFormat="1" applyFont="1" applyFill="1" applyBorder="1" applyAlignment="1">
      <alignment vertical="center"/>
    </xf>
    <xf numFmtId="3" fontId="9" fillId="4" borderId="25" xfId="0" applyNumberFormat="1" applyFont="1" applyFill="1" applyBorder="1" applyAlignment="1">
      <alignment vertical="center"/>
    </xf>
    <xf numFmtId="3" fontId="9" fillId="4" borderId="15" xfId="0" applyNumberFormat="1" applyFont="1" applyFill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0" fontId="5" fillId="0" borderId="0" xfId="56" applyAlignment="1">
      <alignment vertical="center"/>
      <protection/>
    </xf>
    <xf numFmtId="0" fontId="5" fillId="0" borderId="0" xfId="56" applyAlignment="1">
      <alignment vertical="top"/>
      <protection/>
    </xf>
    <xf numFmtId="0" fontId="20" fillId="0" borderId="0" xfId="56" applyFont="1" applyAlignment="1">
      <alignment vertical="center"/>
      <protection/>
    </xf>
    <xf numFmtId="3" fontId="5" fillId="0" borderId="0" xfId="56" applyNumberFormat="1" applyAlignment="1">
      <alignment vertical="center"/>
      <protection/>
    </xf>
    <xf numFmtId="0" fontId="5" fillId="0" borderId="0" xfId="58">
      <alignment/>
      <protection/>
    </xf>
    <xf numFmtId="0" fontId="7" fillId="0" borderId="0" xfId="69" applyFont="1" applyAlignment="1">
      <alignment vertical="center"/>
      <protection/>
    </xf>
    <xf numFmtId="0" fontId="6" fillId="0" borderId="0" xfId="69" applyFont="1" applyAlignment="1">
      <alignment vertical="center"/>
      <protection/>
    </xf>
    <xf numFmtId="0" fontId="7" fillId="24" borderId="0" xfId="69" applyFont="1" applyFill="1" applyBorder="1" applyAlignment="1">
      <alignment vertical="center"/>
      <protection/>
    </xf>
    <xf numFmtId="3" fontId="7" fillId="24" borderId="0" xfId="69" applyNumberFormat="1" applyFont="1" applyFill="1" applyBorder="1" applyAlignment="1">
      <alignment vertical="center"/>
      <protection/>
    </xf>
    <xf numFmtId="0" fontId="6" fillId="24" borderId="0" xfId="69" applyFont="1" applyFill="1" applyBorder="1" applyAlignment="1">
      <alignment vertical="center"/>
      <protection/>
    </xf>
    <xf numFmtId="3" fontId="6" fillId="24" borderId="0" xfId="69" applyNumberFormat="1" applyFont="1" applyFill="1" applyBorder="1" applyAlignment="1">
      <alignment vertical="center"/>
      <protection/>
    </xf>
    <xf numFmtId="0" fontId="6" fillId="0" borderId="0" xfId="69" applyFont="1" applyAlignment="1">
      <alignment horizontal="left" vertical="center"/>
      <protection/>
    </xf>
    <xf numFmtId="0" fontId="6" fillId="0" borderId="0" xfId="69" applyFont="1" applyAlignment="1">
      <alignment horizontal="center" vertical="center"/>
      <protection/>
    </xf>
    <xf numFmtId="0" fontId="4" fillId="0" borderId="0" xfId="66" applyAlignment="1">
      <alignment horizontal="center" vertical="center" wrapText="1"/>
      <protection/>
    </xf>
    <xf numFmtId="0" fontId="4" fillId="0" borderId="0" xfId="66">
      <alignment/>
      <protection/>
    </xf>
    <xf numFmtId="0" fontId="4" fillId="0" borderId="0" xfId="66" applyAlignment="1">
      <alignment vertical="center"/>
      <protection/>
    </xf>
    <xf numFmtId="3" fontId="4" fillId="0" borderId="0" xfId="66" applyNumberFormat="1" applyAlignment="1">
      <alignment vertical="center"/>
      <protection/>
    </xf>
    <xf numFmtId="0" fontId="4" fillId="0" borderId="0" xfId="66" applyFill="1" applyAlignment="1">
      <alignment vertical="center"/>
      <protection/>
    </xf>
    <xf numFmtId="0" fontId="4" fillId="0" borderId="0" xfId="66" applyAlignment="1">
      <alignment horizontal="center" vertical="center"/>
      <protection/>
    </xf>
    <xf numFmtId="0" fontId="4" fillId="0" borderId="0" xfId="66" applyBorder="1" applyAlignment="1">
      <alignment vertical="center"/>
      <protection/>
    </xf>
    <xf numFmtId="3" fontId="4" fillId="0" borderId="0" xfId="66" applyNumberFormat="1" applyFont="1" applyBorder="1" applyAlignment="1">
      <alignment horizontal="right" vertical="center"/>
      <protection/>
    </xf>
    <xf numFmtId="3" fontId="4" fillId="0" borderId="0" xfId="66" applyNumberFormat="1" applyFont="1" applyAlignment="1">
      <alignment horizontal="right" vertical="center"/>
      <protection/>
    </xf>
    <xf numFmtId="0" fontId="4" fillId="0" borderId="0" xfId="66" applyAlignment="1">
      <alignment horizontal="center"/>
      <protection/>
    </xf>
    <xf numFmtId="0" fontId="4" fillId="0" borderId="0" xfId="66" applyAlignment="1">
      <alignment horizontal="center" wrapText="1"/>
      <protection/>
    </xf>
    <xf numFmtId="0" fontId="4" fillId="0" borderId="0" xfId="66" applyAlignment="1">
      <alignment/>
      <protection/>
    </xf>
    <xf numFmtId="0" fontId="4" fillId="0" borderId="0" xfId="66" applyAlignment="1">
      <alignment horizontal="center" vertical="top" wrapText="1"/>
      <protection/>
    </xf>
    <xf numFmtId="0" fontId="4" fillId="0" borderId="0" xfId="66" applyAlignment="1">
      <alignment vertical="top"/>
      <protection/>
    </xf>
    <xf numFmtId="0" fontId="15" fillId="4" borderId="11" xfId="56" applyFont="1" applyFill="1" applyBorder="1" applyAlignment="1">
      <alignment vertical="center"/>
      <protection/>
    </xf>
    <xf numFmtId="0" fontId="14" fillId="4" borderId="19" xfId="69" applyFont="1" applyFill="1" applyBorder="1" applyAlignment="1">
      <alignment horizontal="center" vertical="center" wrapText="1"/>
      <protection/>
    </xf>
    <xf numFmtId="0" fontId="15" fillId="0" borderId="15" xfId="56" applyFont="1" applyBorder="1" applyAlignment="1">
      <alignment vertical="center"/>
      <protection/>
    </xf>
    <xf numFmtId="0" fontId="15" fillId="0" borderId="15" xfId="56" applyFont="1" applyBorder="1" applyAlignment="1">
      <alignment horizontal="center" vertical="center"/>
      <protection/>
    </xf>
    <xf numFmtId="3" fontId="15" fillId="0" borderId="15" xfId="56" applyNumberFormat="1" applyFont="1" applyBorder="1" applyAlignment="1">
      <alignment vertical="center"/>
      <protection/>
    </xf>
    <xf numFmtId="0" fontId="14" fillId="4" borderId="15" xfId="56" applyFont="1" applyFill="1" applyBorder="1" applyAlignment="1">
      <alignment horizontal="center" vertical="center"/>
      <protection/>
    </xf>
    <xf numFmtId="0" fontId="14" fillId="4" borderId="15" xfId="56" applyFont="1" applyFill="1" applyBorder="1" applyAlignment="1">
      <alignment vertical="center"/>
      <protection/>
    </xf>
    <xf numFmtId="0" fontId="8" fillId="0" borderId="15" xfId="56" applyFont="1" applyBorder="1" applyAlignment="1">
      <alignment horizontal="center" vertical="center"/>
      <protection/>
    </xf>
    <xf numFmtId="0" fontId="14" fillId="4" borderId="10" xfId="69" applyFont="1" applyFill="1" applyBorder="1" applyAlignment="1">
      <alignment horizontal="center" vertical="center"/>
      <protection/>
    </xf>
    <xf numFmtId="0" fontId="14" fillId="4" borderId="11" xfId="69" applyFont="1" applyFill="1" applyBorder="1" applyAlignment="1">
      <alignment horizontal="center" vertical="center"/>
      <protection/>
    </xf>
    <xf numFmtId="0" fontId="14" fillId="4" borderId="13" xfId="69" applyFont="1" applyFill="1" applyBorder="1" applyAlignment="1">
      <alignment horizontal="center" vertical="top" wrapText="1"/>
      <protection/>
    </xf>
    <xf numFmtId="0" fontId="14" fillId="4" borderId="14" xfId="69" applyFont="1" applyFill="1" applyBorder="1" applyAlignment="1">
      <alignment horizontal="center" vertical="top" wrapText="1"/>
      <protection/>
    </xf>
    <xf numFmtId="0" fontId="15" fillId="0" borderId="15" xfId="69" applyFont="1" applyBorder="1" applyAlignment="1">
      <alignment horizontal="center" vertical="center"/>
      <protection/>
    </xf>
    <xf numFmtId="0" fontId="14" fillId="0" borderId="15" xfId="69" applyFont="1" applyBorder="1" applyAlignment="1">
      <alignment vertical="center"/>
      <protection/>
    </xf>
    <xf numFmtId="0" fontId="15" fillId="0" borderId="15" xfId="69" applyFont="1" applyBorder="1" applyAlignment="1">
      <alignment vertical="center"/>
      <protection/>
    </xf>
    <xf numFmtId="3" fontId="15" fillId="0" borderId="15" xfId="69" applyNumberFormat="1" applyFont="1" applyBorder="1" applyAlignment="1">
      <alignment vertical="center"/>
      <protection/>
    </xf>
    <xf numFmtId="0" fontId="15" fillId="4" borderId="15" xfId="69" applyFont="1" applyFill="1" applyBorder="1" applyAlignment="1">
      <alignment horizontal="center" vertical="center"/>
      <protection/>
    </xf>
    <xf numFmtId="0" fontId="14" fillId="4" borderId="15" xfId="69" applyFont="1" applyFill="1" applyBorder="1" applyAlignment="1">
      <alignment vertical="center"/>
      <protection/>
    </xf>
    <xf numFmtId="3" fontId="14" fillId="4" borderId="15" xfId="69" applyNumberFormat="1" applyFont="1" applyFill="1" applyBorder="1" applyAlignment="1">
      <alignment vertical="center"/>
      <protection/>
    </xf>
    <xf numFmtId="0" fontId="15" fillId="0" borderId="15" xfId="69" applyFont="1" applyBorder="1" applyAlignment="1">
      <alignment vertical="center" wrapText="1"/>
      <protection/>
    </xf>
    <xf numFmtId="0" fontId="15" fillId="24" borderId="15" xfId="69" applyFont="1" applyFill="1" applyBorder="1" applyAlignment="1">
      <alignment horizontal="center" vertical="center"/>
      <protection/>
    </xf>
    <xf numFmtId="3" fontId="15" fillId="24" borderId="15" xfId="69" applyNumberFormat="1" applyFont="1" applyFill="1" applyBorder="1" applyAlignment="1">
      <alignment vertical="center"/>
      <protection/>
    </xf>
    <xf numFmtId="0" fontId="15" fillId="24" borderId="15" xfId="69" applyFont="1" applyFill="1" applyBorder="1" applyAlignment="1">
      <alignment vertical="center"/>
      <protection/>
    </xf>
    <xf numFmtId="0" fontId="14" fillId="24" borderId="15" xfId="69" applyFont="1" applyFill="1" applyBorder="1" applyAlignment="1">
      <alignment horizontal="center" vertical="center"/>
      <protection/>
    </xf>
    <xf numFmtId="0" fontId="9" fillId="4" borderId="15" xfId="69" applyFont="1" applyFill="1" applyBorder="1" applyAlignment="1">
      <alignment horizontal="center" vertical="center"/>
      <protection/>
    </xf>
    <xf numFmtId="0" fontId="9" fillId="4" borderId="15" xfId="69" applyFont="1" applyFill="1" applyBorder="1" applyAlignment="1">
      <alignment vertical="center"/>
      <protection/>
    </xf>
    <xf numFmtId="0" fontId="8" fillId="24" borderId="15" xfId="69" applyFont="1" applyFill="1" applyBorder="1" applyAlignment="1">
      <alignment horizontal="center" vertical="center"/>
      <protection/>
    </xf>
    <xf numFmtId="0" fontId="9" fillId="24" borderId="15" xfId="69" applyFont="1" applyFill="1" applyBorder="1" applyAlignment="1">
      <alignment horizontal="center" vertical="center"/>
      <protection/>
    </xf>
    <xf numFmtId="0" fontId="9" fillId="24" borderId="15" xfId="69" applyFont="1" applyFill="1" applyBorder="1" applyAlignment="1">
      <alignment vertical="center"/>
      <protection/>
    </xf>
    <xf numFmtId="0" fontId="8" fillId="24" borderId="15" xfId="69" applyFont="1" applyFill="1" applyBorder="1" applyAlignment="1">
      <alignment vertical="center" wrapText="1"/>
      <protection/>
    </xf>
    <xf numFmtId="0" fontId="8" fillId="4" borderId="15" xfId="69" applyFont="1" applyFill="1" applyBorder="1" applyAlignment="1">
      <alignment horizontal="center" vertical="center"/>
      <protection/>
    </xf>
    <xf numFmtId="0" fontId="8" fillId="24" borderId="15" xfId="69" applyFont="1" applyFill="1" applyBorder="1" applyAlignment="1">
      <alignment vertical="center"/>
      <protection/>
    </xf>
    <xf numFmtId="0" fontId="15" fillId="0" borderId="15" xfId="69" applyFont="1" applyFill="1" applyBorder="1" applyAlignment="1">
      <alignment horizontal="center" vertical="center"/>
      <protection/>
    </xf>
    <xf numFmtId="3" fontId="14" fillId="0" borderId="15" xfId="69" applyNumberFormat="1" applyFont="1" applyFill="1" applyBorder="1" applyAlignment="1">
      <alignment vertical="center"/>
      <protection/>
    </xf>
    <xf numFmtId="3" fontId="15" fillId="0" borderId="15" xfId="69" applyNumberFormat="1" applyFont="1" applyFill="1" applyBorder="1" applyAlignment="1">
      <alignment vertical="center"/>
      <protection/>
    </xf>
    <xf numFmtId="0" fontId="9" fillId="4" borderId="15" xfId="68" applyFont="1" applyFill="1" applyBorder="1" applyAlignment="1">
      <alignment vertical="center" wrapText="1"/>
      <protection/>
    </xf>
    <xf numFmtId="0" fontId="9" fillId="4" borderId="10" xfId="66" applyFont="1" applyFill="1" applyBorder="1" applyAlignment="1">
      <alignment horizontal="center"/>
      <protection/>
    </xf>
    <xf numFmtId="0" fontId="9" fillId="4" borderId="26" xfId="66" applyFont="1" applyFill="1" applyBorder="1" applyAlignment="1">
      <alignment horizontal="center"/>
      <protection/>
    </xf>
    <xf numFmtId="0" fontId="9" fillId="4" borderId="27" xfId="66" applyFont="1" applyFill="1" applyBorder="1" applyAlignment="1">
      <alignment horizontal="center" wrapText="1"/>
      <protection/>
    </xf>
    <xf numFmtId="0" fontId="9" fillId="4" borderId="11" xfId="66" applyFont="1" applyFill="1" applyBorder="1" applyAlignment="1">
      <alignment horizontal="center" wrapText="1"/>
      <protection/>
    </xf>
    <xf numFmtId="0" fontId="9" fillId="4" borderId="28" xfId="66" applyFont="1" applyFill="1" applyBorder="1" applyAlignment="1">
      <alignment horizontal="center" wrapText="1"/>
      <protection/>
    </xf>
    <xf numFmtId="0" fontId="8" fillId="0" borderId="15" xfId="66" applyFont="1" applyBorder="1" applyAlignment="1">
      <alignment horizontal="center" vertical="center"/>
      <protection/>
    </xf>
    <xf numFmtId="0" fontId="8" fillId="0" borderId="15" xfId="66" applyFont="1" applyBorder="1" applyAlignment="1">
      <alignment vertical="center"/>
      <protection/>
    </xf>
    <xf numFmtId="3" fontId="8" fillId="0" borderId="15" xfId="66" applyNumberFormat="1" applyFont="1" applyBorder="1" applyAlignment="1">
      <alignment horizontal="right" vertical="center"/>
      <protection/>
    </xf>
    <xf numFmtId="3" fontId="8" fillId="0" borderId="15" xfId="66" applyNumberFormat="1" applyFont="1" applyBorder="1" applyAlignment="1">
      <alignment vertical="center"/>
      <protection/>
    </xf>
    <xf numFmtId="3" fontId="8" fillId="0" borderId="15" xfId="66" applyNumberFormat="1" applyFont="1" applyBorder="1" applyAlignment="1">
      <alignment horizontal="center" vertical="center"/>
      <protection/>
    </xf>
    <xf numFmtId="0" fontId="8" fillId="4" borderId="15" xfId="66" applyFont="1" applyFill="1" applyBorder="1" applyAlignment="1">
      <alignment horizontal="center" vertical="center"/>
      <protection/>
    </xf>
    <xf numFmtId="0" fontId="9" fillId="4" borderId="15" xfId="66" applyFont="1" applyFill="1" applyBorder="1" applyAlignment="1">
      <alignment vertical="center"/>
      <protection/>
    </xf>
    <xf numFmtId="3" fontId="9" fillId="4" borderId="15" xfId="66" applyNumberFormat="1" applyFont="1" applyFill="1" applyBorder="1" applyAlignment="1">
      <alignment horizontal="right" vertical="center"/>
      <protection/>
    </xf>
    <xf numFmtId="0" fontId="8" fillId="0" borderId="15" xfId="66" applyFont="1" applyBorder="1" applyAlignment="1">
      <alignment vertical="center" wrapText="1"/>
      <protection/>
    </xf>
    <xf numFmtId="0" fontId="8" fillId="4" borderId="15" xfId="66" applyFont="1" applyFill="1" applyBorder="1" applyAlignment="1">
      <alignment vertical="center"/>
      <protection/>
    </xf>
    <xf numFmtId="3" fontId="9" fillId="4" borderId="29" xfId="0" applyNumberFormat="1" applyFont="1" applyFill="1" applyBorder="1" applyAlignment="1">
      <alignment/>
    </xf>
    <xf numFmtId="0" fontId="8" fillId="4" borderId="30" xfId="66" applyFont="1" applyFill="1" applyBorder="1" applyAlignment="1">
      <alignment vertical="center"/>
      <protection/>
    </xf>
    <xf numFmtId="0" fontId="8" fillId="4" borderId="31" xfId="66" applyFont="1" applyFill="1" applyBorder="1" applyAlignment="1">
      <alignment vertical="center"/>
      <protection/>
    </xf>
    <xf numFmtId="0" fontId="9" fillId="4" borderId="31" xfId="66" applyFont="1" applyFill="1" applyBorder="1" applyAlignment="1">
      <alignment vertical="center"/>
      <protection/>
    </xf>
    <xf numFmtId="3" fontId="9" fillId="4" borderId="31" xfId="66" applyNumberFormat="1" applyFont="1" applyFill="1" applyBorder="1" applyAlignment="1">
      <alignment horizontal="right" vertical="center"/>
      <protection/>
    </xf>
    <xf numFmtId="0" fontId="8" fillId="0" borderId="0" xfId="66" applyFont="1" applyAlignment="1">
      <alignment vertical="center"/>
      <protection/>
    </xf>
    <xf numFmtId="0" fontId="8" fillId="0" borderId="0" xfId="66" applyFont="1" applyBorder="1" applyAlignment="1">
      <alignment vertical="center"/>
      <protection/>
    </xf>
    <xf numFmtId="3" fontId="8" fillId="0" borderId="0" xfId="66" applyNumberFormat="1" applyFont="1" applyBorder="1" applyAlignment="1">
      <alignment horizontal="right" vertical="center"/>
      <protection/>
    </xf>
    <xf numFmtId="3" fontId="8" fillId="0" borderId="0" xfId="66" applyNumberFormat="1" applyFont="1" applyAlignment="1">
      <alignment horizontal="right" vertical="center"/>
      <protection/>
    </xf>
    <xf numFmtId="0" fontId="9" fillId="4" borderId="17" xfId="66" applyFont="1" applyFill="1" applyBorder="1" applyAlignment="1">
      <alignment horizontal="centerContinuous" wrapText="1"/>
      <protection/>
    </xf>
    <xf numFmtId="0" fontId="8" fillId="4" borderId="32" xfId="66" applyFont="1" applyFill="1" applyBorder="1" applyAlignment="1">
      <alignment vertical="center"/>
      <protection/>
    </xf>
    <xf numFmtId="0" fontId="9" fillId="4" borderId="33" xfId="66" applyFont="1" applyFill="1" applyBorder="1" applyAlignment="1">
      <alignment horizontal="center" wrapText="1"/>
      <protection/>
    </xf>
    <xf numFmtId="0" fontId="9" fillId="4" borderId="26" xfId="66" applyFont="1" applyFill="1" applyBorder="1" applyAlignment="1">
      <alignment horizontal="center" wrapText="1"/>
      <protection/>
    </xf>
    <xf numFmtId="0" fontId="15" fillId="4" borderId="32" xfId="66" applyFont="1" applyFill="1" applyBorder="1" applyAlignment="1">
      <alignment horizontal="center"/>
      <protection/>
    </xf>
    <xf numFmtId="0" fontId="15" fillId="4" borderId="32" xfId="66" applyFont="1" applyFill="1" applyBorder="1">
      <alignment/>
      <protection/>
    </xf>
    <xf numFmtId="0" fontId="15" fillId="4" borderId="33" xfId="66" applyFont="1" applyFill="1" applyBorder="1" applyAlignment="1">
      <alignment horizontal="center"/>
      <protection/>
    </xf>
    <xf numFmtId="0" fontId="15" fillId="4" borderId="33" xfId="66" applyFont="1" applyFill="1" applyBorder="1">
      <alignment/>
      <protection/>
    </xf>
    <xf numFmtId="0" fontId="14" fillId="4" borderId="32" xfId="66" applyFont="1" applyFill="1" applyBorder="1" applyAlignment="1">
      <alignment horizontal="center"/>
      <protection/>
    </xf>
    <xf numFmtId="0" fontId="14" fillId="4" borderId="34" xfId="66" applyFont="1" applyFill="1" applyBorder="1" applyAlignment="1">
      <alignment horizontal="center" vertical="center" wrapText="1"/>
      <protection/>
    </xf>
    <xf numFmtId="0" fontId="8" fillId="4" borderId="30" xfId="66" applyFont="1" applyFill="1" applyBorder="1" applyAlignment="1">
      <alignment horizontal="center" vertical="center"/>
      <protection/>
    </xf>
    <xf numFmtId="0" fontId="8" fillId="4" borderId="31" xfId="66" applyFont="1" applyFill="1" applyBorder="1" applyAlignment="1">
      <alignment horizontal="center" vertical="center"/>
      <protection/>
    </xf>
    <xf numFmtId="0" fontId="8" fillId="0" borderId="0" xfId="66" applyFont="1" applyAlignment="1">
      <alignment horizontal="center" vertical="center"/>
      <protection/>
    </xf>
    <xf numFmtId="0" fontId="15" fillId="4" borderId="10" xfId="58" applyFont="1" applyFill="1" applyBorder="1" applyAlignment="1">
      <alignment horizontal="center"/>
      <protection/>
    </xf>
    <xf numFmtId="0" fontId="15" fillId="4" borderId="26" xfId="58" applyFont="1" applyFill="1" applyBorder="1" applyAlignment="1">
      <alignment horizontal="center"/>
      <protection/>
    </xf>
    <xf numFmtId="0" fontId="15" fillId="4" borderId="11" xfId="58" applyFont="1" applyFill="1" applyBorder="1" applyAlignment="1">
      <alignment horizontal="centerContinuous" vertical="center"/>
      <protection/>
    </xf>
    <xf numFmtId="0" fontId="14" fillId="4" borderId="13" xfId="58" applyFont="1" applyFill="1" applyBorder="1" applyAlignment="1">
      <alignment horizontal="center" vertical="top" wrapText="1"/>
      <protection/>
    </xf>
    <xf numFmtId="0" fontId="14" fillId="4" borderId="35" xfId="58" applyFont="1" applyFill="1" applyBorder="1" applyAlignment="1">
      <alignment horizontal="center" vertical="top" wrapText="1"/>
      <protection/>
    </xf>
    <xf numFmtId="0" fontId="14" fillId="4" borderId="14" xfId="58" applyFont="1" applyFill="1" applyBorder="1" applyAlignment="1">
      <alignment horizontal="center" vertical="top" wrapText="1"/>
      <protection/>
    </xf>
    <xf numFmtId="0" fontId="14" fillId="4" borderId="35" xfId="58" applyFont="1" applyFill="1" applyBorder="1" applyAlignment="1">
      <alignment horizontal="center" vertical="center" wrapText="1"/>
      <protection/>
    </xf>
    <xf numFmtId="0" fontId="15" fillId="0" borderId="15" xfId="58" applyFont="1" applyFill="1" applyBorder="1" applyAlignment="1">
      <alignment horizontal="center" vertical="top" wrapText="1"/>
      <protection/>
    </xf>
    <xf numFmtId="0" fontId="15" fillId="0" borderId="15" xfId="58" applyFont="1" applyFill="1" applyBorder="1" applyAlignment="1">
      <alignment vertical="top" wrapText="1"/>
      <protection/>
    </xf>
    <xf numFmtId="0" fontId="15" fillId="0" borderId="15" xfId="58" applyFont="1" applyFill="1" applyBorder="1" applyAlignment="1">
      <alignment horizontal="left" vertical="center" wrapText="1"/>
      <protection/>
    </xf>
    <xf numFmtId="0" fontId="15" fillId="0" borderId="15" xfId="58" applyFont="1" applyFill="1" applyBorder="1" applyAlignment="1">
      <alignment horizontal="left" vertical="top" wrapText="1"/>
      <protection/>
    </xf>
    <xf numFmtId="0" fontId="15" fillId="0" borderId="15" xfId="58" applyFont="1" applyBorder="1" applyAlignment="1">
      <alignment horizontal="center"/>
      <protection/>
    </xf>
    <xf numFmtId="3" fontId="15" fillId="0" borderId="15" xfId="58" applyNumberFormat="1" applyFont="1" applyBorder="1" applyAlignment="1">
      <alignment vertical="center"/>
      <protection/>
    </xf>
    <xf numFmtId="0" fontId="15" fillId="0" borderId="15" xfId="58" applyFont="1" applyBorder="1" applyAlignment="1">
      <alignment/>
      <protection/>
    </xf>
    <xf numFmtId="0" fontId="15" fillId="0" borderId="15" xfId="58" applyFont="1" applyBorder="1" applyAlignment="1">
      <alignment horizontal="center" vertical="center"/>
      <protection/>
    </xf>
    <xf numFmtId="0" fontId="15" fillId="4" borderId="15" xfId="58" applyFont="1" applyFill="1" applyBorder="1" applyAlignment="1">
      <alignment/>
      <protection/>
    </xf>
    <xf numFmtId="0" fontId="15" fillId="4" borderId="15" xfId="58" applyFont="1" applyFill="1" applyBorder="1" applyAlignment="1">
      <alignment horizontal="center" vertical="center"/>
      <protection/>
    </xf>
    <xf numFmtId="0" fontId="14" fillId="4" borderId="15" xfId="58" applyFont="1" applyFill="1" applyBorder="1" applyAlignment="1">
      <alignment vertical="center"/>
      <protection/>
    </xf>
    <xf numFmtId="3" fontId="14" fillId="4" borderId="15" xfId="58" applyNumberFormat="1" applyFont="1" applyFill="1" applyBorder="1" applyAlignment="1">
      <alignment vertical="center"/>
      <protection/>
    </xf>
    <xf numFmtId="0" fontId="15" fillId="24" borderId="15" xfId="58" applyFont="1" applyFill="1" applyBorder="1" applyAlignment="1">
      <alignment horizontal="center"/>
      <protection/>
    </xf>
    <xf numFmtId="0" fontId="15" fillId="24" borderId="15" xfId="58" applyFont="1" applyFill="1" applyBorder="1" applyAlignment="1">
      <alignment horizontal="center" vertical="center"/>
      <protection/>
    </xf>
    <xf numFmtId="0" fontId="15" fillId="0" borderId="36" xfId="58" applyFont="1" applyBorder="1" applyAlignment="1">
      <alignment horizontal="center"/>
      <protection/>
    </xf>
    <xf numFmtId="0" fontId="15" fillId="0" borderId="37" xfId="58" applyFont="1" applyBorder="1" applyAlignment="1">
      <alignment horizontal="center"/>
      <protection/>
    </xf>
    <xf numFmtId="0" fontId="15" fillId="4" borderId="36" xfId="58" applyFont="1" applyFill="1" applyBorder="1" applyAlignment="1">
      <alignment/>
      <protection/>
    </xf>
    <xf numFmtId="0" fontId="15" fillId="4" borderId="37" xfId="58" applyFont="1" applyFill="1" applyBorder="1" applyAlignment="1">
      <alignment/>
      <protection/>
    </xf>
    <xf numFmtId="3" fontId="14" fillId="4" borderId="15" xfId="58" applyNumberFormat="1" applyFont="1" applyFill="1" applyBorder="1" applyAlignment="1">
      <alignment horizontal="right" vertical="center"/>
      <protection/>
    </xf>
    <xf numFmtId="0" fontId="15" fillId="0" borderId="36" xfId="58" applyFont="1" applyFill="1" applyBorder="1" applyAlignment="1">
      <alignment horizontal="center"/>
      <protection/>
    </xf>
    <xf numFmtId="0" fontId="15" fillId="0" borderId="37" xfId="58" applyFont="1" applyFill="1" applyBorder="1" applyAlignment="1">
      <alignment horizontal="center"/>
      <protection/>
    </xf>
    <xf numFmtId="0" fontId="15" fillId="0" borderId="15" xfId="58" applyFont="1" applyFill="1" applyBorder="1" applyAlignment="1">
      <alignment vertical="center"/>
      <protection/>
    </xf>
    <xf numFmtId="0" fontId="14" fillId="0" borderId="15" xfId="58" applyFont="1" applyFill="1" applyBorder="1" applyAlignment="1">
      <alignment vertical="center"/>
      <protection/>
    </xf>
    <xf numFmtId="0" fontId="15" fillId="0" borderId="36" xfId="58" applyFont="1" applyFill="1" applyBorder="1" applyAlignment="1">
      <alignment/>
      <protection/>
    </xf>
    <xf numFmtId="0" fontId="15" fillId="0" borderId="37" xfId="58" applyFont="1" applyFill="1" applyBorder="1" applyAlignment="1">
      <alignment/>
      <protection/>
    </xf>
    <xf numFmtId="0" fontId="15" fillId="0" borderId="15" xfId="58" applyFont="1" applyFill="1" applyBorder="1" applyAlignment="1">
      <alignment horizontal="center" vertical="center"/>
      <protection/>
    </xf>
    <xf numFmtId="0" fontId="15" fillId="0" borderId="15" xfId="58" applyFont="1" applyFill="1" applyBorder="1" applyAlignment="1">
      <alignment horizontal="center"/>
      <protection/>
    </xf>
    <xf numFmtId="0" fontId="15" fillId="0" borderId="15" xfId="58" applyFont="1" applyFill="1" applyBorder="1" applyAlignment="1">
      <alignment/>
      <protection/>
    </xf>
    <xf numFmtId="0" fontId="15" fillId="24" borderId="15" xfId="58" applyFont="1" applyFill="1" applyBorder="1" applyAlignment="1">
      <alignment/>
      <protection/>
    </xf>
    <xf numFmtId="0" fontId="14" fillId="24" borderId="15" xfId="58" applyFont="1" applyFill="1" applyBorder="1" applyAlignment="1">
      <alignment horizontal="center" vertical="top" wrapText="1"/>
      <protection/>
    </xf>
    <xf numFmtId="0" fontId="8" fillId="4" borderId="15" xfId="58" applyFont="1" applyFill="1" applyBorder="1">
      <alignment/>
      <protection/>
    </xf>
    <xf numFmtId="0" fontId="15" fillId="4" borderId="15" xfId="58" applyFont="1" applyFill="1" applyBorder="1" applyAlignment="1">
      <alignment horizontal="center"/>
      <protection/>
    </xf>
    <xf numFmtId="3" fontId="14" fillId="4" borderId="15" xfId="58" applyNumberFormat="1" applyFont="1" applyFill="1" applyBorder="1">
      <alignment/>
      <protection/>
    </xf>
    <xf numFmtId="0" fontId="9" fillId="4" borderId="15" xfId="58" applyFont="1" applyFill="1" applyBorder="1">
      <alignment/>
      <protection/>
    </xf>
    <xf numFmtId="0" fontId="14" fillId="4" borderId="15" xfId="58" applyFont="1" applyFill="1" applyBorder="1" applyAlignment="1">
      <alignment horizontal="center"/>
      <protection/>
    </xf>
    <xf numFmtId="0" fontId="8" fillId="0" borderId="0" xfId="58" applyFont="1">
      <alignment/>
      <protection/>
    </xf>
    <xf numFmtId="0" fontId="9" fillId="0" borderId="0" xfId="58" applyFont="1">
      <alignment/>
      <protection/>
    </xf>
    <xf numFmtId="0" fontId="9" fillId="25" borderId="15" xfId="68" applyFont="1" applyFill="1" applyBorder="1" applyAlignment="1">
      <alignment horizontal="center" vertical="center"/>
      <protection/>
    </xf>
    <xf numFmtId="0" fontId="9" fillId="25" borderId="15" xfId="68" applyFont="1" applyFill="1" applyBorder="1" applyAlignment="1">
      <alignment vertical="center"/>
      <protection/>
    </xf>
    <xf numFmtId="3" fontId="9" fillId="25" borderId="15" xfId="68" applyNumberFormat="1" applyFont="1" applyFill="1" applyBorder="1" applyAlignment="1">
      <alignment vertical="center"/>
      <protection/>
    </xf>
    <xf numFmtId="3" fontId="8" fillId="25" borderId="15" xfId="68" applyNumberFormat="1" applyFont="1" applyFill="1" applyBorder="1" applyAlignment="1">
      <alignment vertical="center"/>
      <protection/>
    </xf>
    <xf numFmtId="0" fontId="9" fillId="0" borderId="15" xfId="68" applyFont="1" applyBorder="1" applyAlignment="1">
      <alignment vertical="center" wrapText="1"/>
      <protection/>
    </xf>
    <xf numFmtId="0" fontId="14" fillId="0" borderId="15" xfId="69" applyFont="1" applyBorder="1" applyAlignment="1">
      <alignment vertical="center" wrapText="1"/>
      <protection/>
    </xf>
    <xf numFmtId="0" fontId="9" fillId="26" borderId="15" xfId="68" applyFont="1" applyFill="1" applyBorder="1" applyAlignment="1">
      <alignment horizontal="center" vertical="center"/>
      <protection/>
    </xf>
    <xf numFmtId="0" fontId="9" fillId="26" borderId="15" xfId="68" applyFont="1" applyFill="1" applyBorder="1" applyAlignment="1">
      <alignment vertical="center"/>
      <protection/>
    </xf>
    <xf numFmtId="3" fontId="9" fillId="26" borderId="15" xfId="68" applyNumberFormat="1" applyFont="1" applyFill="1" applyBorder="1" applyAlignment="1">
      <alignment vertical="center"/>
      <protection/>
    </xf>
    <xf numFmtId="0" fontId="14" fillId="4" borderId="15" xfId="69" applyFont="1" applyFill="1" applyBorder="1" applyAlignment="1">
      <alignment horizontal="center" vertical="center"/>
      <protection/>
    </xf>
    <xf numFmtId="0" fontId="14" fillId="4" borderId="15" xfId="69" applyFont="1" applyFill="1" applyBorder="1" applyAlignment="1">
      <alignment vertical="center" wrapText="1"/>
      <protection/>
    </xf>
    <xf numFmtId="0" fontId="15" fillId="24" borderId="21" xfId="58" applyFont="1" applyFill="1" applyBorder="1" applyAlignment="1">
      <alignment horizontal="center" vertical="center"/>
      <protection/>
    </xf>
    <xf numFmtId="0" fontId="15" fillId="24" borderId="21" xfId="58" applyFont="1" applyFill="1" applyBorder="1" applyAlignment="1">
      <alignment horizontal="center"/>
      <protection/>
    </xf>
    <xf numFmtId="0" fontId="14" fillId="0" borderId="38" xfId="58" applyFont="1" applyFill="1" applyBorder="1" applyAlignment="1">
      <alignment horizontal="center" vertical="top" wrapText="1"/>
      <protection/>
    </xf>
    <xf numFmtId="0" fontId="14" fillId="0" borderId="29" xfId="58" applyFont="1" applyFill="1" applyBorder="1" applyAlignment="1">
      <alignment horizontal="left" vertical="top"/>
      <protection/>
    </xf>
    <xf numFmtId="0" fontId="7" fillId="0" borderId="0" xfId="0" applyFont="1" applyAlignment="1">
      <alignment/>
    </xf>
    <xf numFmtId="3" fontId="21" fillId="0" borderId="0" xfId="70" applyNumberFormat="1" applyFont="1" applyFill="1" applyAlignment="1">
      <alignment vertical="center"/>
      <protection/>
    </xf>
    <xf numFmtId="3" fontId="6" fillId="0" borderId="0" xfId="70" applyNumberFormat="1" applyFont="1" applyAlignment="1">
      <alignment vertical="center"/>
      <protection/>
    </xf>
    <xf numFmtId="3" fontId="6" fillId="0" borderId="0" xfId="70" applyNumberFormat="1" applyFont="1" applyAlignment="1">
      <alignment horizontal="right" vertical="center"/>
      <protection/>
    </xf>
    <xf numFmtId="3" fontId="6" fillId="0" borderId="0" xfId="70" applyNumberFormat="1" applyFont="1" applyFill="1" applyBorder="1" applyAlignment="1">
      <alignment vertical="center"/>
      <protection/>
    </xf>
    <xf numFmtId="0" fontId="6" fillId="0" borderId="0" xfId="0" applyFont="1" applyBorder="1" applyAlignment="1">
      <alignment/>
    </xf>
    <xf numFmtId="3" fontId="3" fillId="4" borderId="15" xfId="57" applyNumberFormat="1" applyFont="1" applyFill="1" applyBorder="1" applyAlignment="1">
      <alignment vertical="center"/>
      <protection/>
    </xf>
    <xf numFmtId="0" fontId="15" fillId="4" borderId="25" xfId="58" applyFont="1" applyFill="1" applyBorder="1" applyAlignment="1">
      <alignment/>
      <protection/>
    </xf>
    <xf numFmtId="0" fontId="14" fillId="4" borderId="10" xfId="0" applyFont="1" applyFill="1" applyBorder="1" applyAlignment="1">
      <alignment/>
    </xf>
    <xf numFmtId="0" fontId="14" fillId="4" borderId="11" xfId="0" applyFont="1" applyFill="1" applyBorder="1" applyAlignment="1">
      <alignment/>
    </xf>
    <xf numFmtId="0" fontId="14" fillId="4" borderId="12" xfId="0" applyFont="1" applyFill="1" applyBorder="1" applyAlignment="1">
      <alignment/>
    </xf>
    <xf numFmtId="3" fontId="14" fillId="4" borderId="13" xfId="70" applyNumberFormat="1" applyFont="1" applyFill="1" applyBorder="1" applyAlignment="1">
      <alignment horizontal="center" vertical="top" wrapText="1"/>
      <protection/>
    </xf>
    <xf numFmtId="3" fontId="14" fillId="4" borderId="14" xfId="70" applyNumberFormat="1" applyFont="1" applyFill="1" applyBorder="1" applyAlignment="1">
      <alignment horizontal="center" vertical="top" wrapText="1"/>
      <protection/>
    </xf>
    <xf numFmtId="3" fontId="14" fillId="4" borderId="19" xfId="70" applyNumberFormat="1" applyFont="1" applyFill="1" applyBorder="1" applyAlignment="1">
      <alignment horizontal="center" vertical="center" wrapText="1"/>
      <protection/>
    </xf>
    <xf numFmtId="3" fontId="14" fillId="4" borderId="20" xfId="70" applyNumberFormat="1" applyFont="1" applyFill="1" applyBorder="1" applyAlignment="1">
      <alignment horizontal="center" vertical="top" wrapText="1"/>
      <protection/>
    </xf>
    <xf numFmtId="3" fontId="14" fillId="0" borderId="15" xfId="70" applyNumberFormat="1" applyFont="1" applyFill="1" applyBorder="1" applyAlignment="1">
      <alignment horizontal="left" vertical="center" wrapText="1"/>
      <protection/>
    </xf>
    <xf numFmtId="3" fontId="15" fillId="0" borderId="15" xfId="70" applyNumberFormat="1" applyFont="1" applyBorder="1" applyAlignment="1">
      <alignment horizontal="left" vertical="center" wrapText="1"/>
      <protection/>
    </xf>
    <xf numFmtId="3" fontId="15" fillId="0" borderId="15" xfId="70" applyNumberFormat="1" applyFont="1" applyBorder="1" applyAlignment="1">
      <alignment horizontal="left" vertical="center"/>
      <protection/>
    </xf>
    <xf numFmtId="3" fontId="15" fillId="4" borderId="15" xfId="70" applyNumberFormat="1" applyFont="1" applyFill="1" applyBorder="1" applyAlignment="1">
      <alignment horizontal="center" vertical="center"/>
      <protection/>
    </xf>
    <xf numFmtId="0" fontId="8" fillId="0" borderId="15" xfId="66" applyFont="1" applyBorder="1" applyAlignment="1">
      <alignment horizontal="center"/>
      <protection/>
    </xf>
    <xf numFmtId="0" fontId="8" fillId="0" borderId="15" xfId="66" applyFont="1" applyBorder="1">
      <alignment/>
      <protection/>
    </xf>
    <xf numFmtId="193" fontId="8" fillId="0" borderId="15" xfId="66" applyNumberFormat="1" applyFont="1" applyBorder="1" applyAlignment="1">
      <alignment horizontal="right" vertical="center"/>
      <protection/>
    </xf>
    <xf numFmtId="193" fontId="8" fillId="0" borderId="15" xfId="66" applyNumberFormat="1" applyFont="1" applyBorder="1" applyAlignment="1">
      <alignment vertical="center"/>
      <protection/>
    </xf>
    <xf numFmtId="193" fontId="8" fillId="0" borderId="15" xfId="66" applyNumberFormat="1" applyFont="1" applyFill="1" applyBorder="1" applyAlignment="1">
      <alignment horizontal="right" vertical="center"/>
      <protection/>
    </xf>
    <xf numFmtId="0" fontId="8" fillId="0" borderId="15" xfId="68" applyFont="1" applyFill="1" applyBorder="1" applyAlignment="1">
      <alignment vertical="center"/>
      <protection/>
    </xf>
    <xf numFmtId="3" fontId="8" fillId="0" borderId="15" xfId="68" applyNumberFormat="1" applyFont="1" applyFill="1" applyBorder="1" applyAlignment="1">
      <alignment vertical="center"/>
      <protection/>
    </xf>
    <xf numFmtId="3" fontId="22" fillId="0" borderId="0" xfId="66" applyNumberFormat="1" applyFont="1" applyFill="1" applyBorder="1" applyAlignment="1">
      <alignment vertical="center"/>
      <protection/>
    </xf>
    <xf numFmtId="193" fontId="14" fillId="0" borderId="15" xfId="0" applyNumberFormat="1" applyFont="1" applyFill="1" applyBorder="1" applyAlignment="1">
      <alignment vertical="center"/>
    </xf>
    <xf numFmtId="193" fontId="15" fillId="0" borderId="15" xfId="0" applyNumberFormat="1" applyFont="1" applyFill="1" applyBorder="1" applyAlignment="1">
      <alignment vertical="center"/>
    </xf>
    <xf numFmtId="193" fontId="15" fillId="24" borderId="15" xfId="70" applyNumberFormat="1" applyFont="1" applyFill="1" applyBorder="1" applyAlignment="1">
      <alignment horizontal="right" vertical="top"/>
      <protection/>
    </xf>
    <xf numFmtId="193" fontId="14" fillId="0" borderId="15" xfId="0" applyNumberFormat="1" applyFont="1" applyBorder="1" applyAlignment="1">
      <alignment vertical="center"/>
    </xf>
    <xf numFmtId="193" fontId="15" fillId="0" borderId="15" xfId="0" applyNumberFormat="1" applyFont="1" applyBorder="1" applyAlignment="1">
      <alignment vertical="center"/>
    </xf>
    <xf numFmtId="193" fontId="14" fillId="24" borderId="15" xfId="0" applyNumberFormat="1" applyFont="1" applyFill="1" applyBorder="1" applyAlignment="1">
      <alignment vertical="center"/>
    </xf>
    <xf numFmtId="193" fontId="15" fillId="24" borderId="15" xfId="0" applyNumberFormat="1" applyFont="1" applyFill="1" applyBorder="1" applyAlignment="1">
      <alignment vertical="center"/>
    </xf>
    <xf numFmtId="0" fontId="5" fillId="0" borderId="0" xfId="58" applyFill="1">
      <alignment/>
      <protection/>
    </xf>
    <xf numFmtId="0" fontId="9" fillId="0" borderId="15" xfId="69" applyFont="1" applyFill="1" applyBorder="1" applyAlignment="1">
      <alignment horizontal="center" vertical="center"/>
      <protection/>
    </xf>
    <xf numFmtId="0" fontId="9" fillId="0" borderId="15" xfId="69" applyFont="1" applyFill="1" applyBorder="1" applyAlignment="1">
      <alignment vertical="center"/>
      <protection/>
    </xf>
    <xf numFmtId="0" fontId="6" fillId="0" borderId="0" xfId="69" applyFont="1" applyFill="1" applyAlignment="1">
      <alignment vertical="center"/>
      <protection/>
    </xf>
    <xf numFmtId="0" fontId="14" fillId="0" borderId="15" xfId="69" applyFont="1" applyBorder="1" applyAlignment="1">
      <alignment horizontal="center" vertical="center"/>
      <protection/>
    </xf>
    <xf numFmtId="16" fontId="15" fillId="0" borderId="15" xfId="69" applyNumberFormat="1" applyFont="1" applyBorder="1" applyAlignment="1">
      <alignment horizontal="center" vertical="center"/>
      <protection/>
    </xf>
    <xf numFmtId="16" fontId="14" fillId="0" borderId="15" xfId="69" applyNumberFormat="1" applyFont="1" applyBorder="1" applyAlignment="1">
      <alignment horizontal="center" vertical="center"/>
      <protection/>
    </xf>
    <xf numFmtId="0" fontId="9" fillId="0" borderId="15" xfId="58" applyFont="1" applyBorder="1" applyAlignment="1">
      <alignment horizontal="center" vertical="center"/>
      <protection/>
    </xf>
    <xf numFmtId="0" fontId="9" fillId="24" borderId="15" xfId="58" applyFont="1" applyFill="1" applyBorder="1" applyAlignment="1">
      <alignment horizontal="center" vertical="top" wrapText="1"/>
      <protection/>
    </xf>
    <xf numFmtId="0" fontId="9" fillId="0" borderId="15" xfId="58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24" borderId="15" xfId="58" applyFont="1" applyFill="1" applyBorder="1" applyAlignment="1">
      <alignment horizontal="center" vertical="center"/>
      <protection/>
    </xf>
    <xf numFmtId="0" fontId="8" fillId="0" borderId="15" xfId="58" applyFont="1" applyBorder="1" applyAlignment="1">
      <alignment horizontal="center" vertical="center"/>
      <protection/>
    </xf>
    <xf numFmtId="0" fontId="8" fillId="24" borderId="15" xfId="58" applyFont="1" applyFill="1" applyBorder="1" applyAlignment="1">
      <alignment horizontal="center" vertical="top" wrapText="1"/>
      <protection/>
    </xf>
    <xf numFmtId="16" fontId="8" fillId="24" borderId="15" xfId="58" applyNumberFormat="1" applyFont="1" applyFill="1" applyBorder="1" applyAlignment="1">
      <alignment horizontal="center" vertical="top" wrapText="1"/>
      <protection/>
    </xf>
    <xf numFmtId="0" fontId="5" fillId="4" borderId="15" xfId="57" applyFill="1" applyBorder="1" applyAlignment="1">
      <alignment vertical="center"/>
      <protection/>
    </xf>
    <xf numFmtId="3" fontId="19" fillId="4" borderId="10" xfId="0" applyNumberFormat="1" applyFont="1" applyFill="1" applyBorder="1" applyAlignment="1">
      <alignment horizontal="center" vertical="center"/>
    </xf>
    <xf numFmtId="3" fontId="19" fillId="4" borderId="11" xfId="0" applyNumberFormat="1" applyFont="1" applyFill="1" applyBorder="1" applyAlignment="1">
      <alignment horizontal="center" vertical="center"/>
    </xf>
    <xf numFmtId="3" fontId="19" fillId="4" borderId="27" xfId="0" applyNumberFormat="1" applyFont="1" applyFill="1" applyBorder="1" applyAlignment="1">
      <alignment vertical="center"/>
    </xf>
    <xf numFmtId="3" fontId="19" fillId="4" borderId="26" xfId="0" applyNumberFormat="1" applyFont="1" applyFill="1" applyBorder="1" applyAlignment="1">
      <alignment vertical="center"/>
    </xf>
    <xf numFmtId="3" fontId="19" fillId="4" borderId="11" xfId="0" applyNumberFormat="1" applyFont="1" applyFill="1" applyBorder="1" applyAlignment="1">
      <alignment vertical="center"/>
    </xf>
    <xf numFmtId="3" fontId="19" fillId="4" borderId="27" xfId="0" applyNumberFormat="1" applyFont="1" applyFill="1" applyBorder="1" applyAlignment="1">
      <alignment horizontal="centerContinuous" vertical="center"/>
    </xf>
    <xf numFmtId="3" fontId="19" fillId="4" borderId="26" xfId="0" applyNumberFormat="1" applyFont="1" applyFill="1" applyBorder="1" applyAlignment="1">
      <alignment horizontal="centerContinuous" vertical="center"/>
    </xf>
    <xf numFmtId="3" fontId="19" fillId="4" borderId="13" xfId="70" applyNumberFormat="1" applyFont="1" applyFill="1" applyBorder="1" applyAlignment="1">
      <alignment horizontal="center" vertical="top" wrapText="1"/>
      <protection/>
    </xf>
    <xf numFmtId="3" fontId="19" fillId="4" borderId="14" xfId="70" applyNumberFormat="1" applyFont="1" applyFill="1" applyBorder="1" applyAlignment="1">
      <alignment horizontal="center" vertical="top" wrapText="1"/>
      <protection/>
    </xf>
    <xf numFmtId="3" fontId="19" fillId="4" borderId="39" xfId="70" applyNumberFormat="1" applyFont="1" applyFill="1" applyBorder="1" applyAlignment="1">
      <alignment horizontal="centerContinuous" vertical="top"/>
      <protection/>
    </xf>
    <xf numFmtId="3" fontId="19" fillId="4" borderId="35" xfId="70" applyNumberFormat="1" applyFont="1" applyFill="1" applyBorder="1" applyAlignment="1">
      <alignment horizontal="centerContinuous" vertical="top" wrapText="1"/>
      <protection/>
    </xf>
    <xf numFmtId="3" fontId="19" fillId="4" borderId="19" xfId="70" applyNumberFormat="1" applyFont="1" applyFill="1" applyBorder="1" applyAlignment="1">
      <alignment horizontal="center" vertical="center" wrapText="1"/>
      <protection/>
    </xf>
    <xf numFmtId="193" fontId="15" fillId="24" borderId="15" xfId="70" applyNumberFormat="1" applyFont="1" applyFill="1" applyBorder="1" applyAlignment="1">
      <alignment horizontal="right" vertical="center" wrapText="1"/>
      <protection/>
    </xf>
    <xf numFmtId="193" fontId="19" fillId="24" borderId="15" xfId="70" applyNumberFormat="1" applyFont="1" applyFill="1" applyBorder="1" applyAlignment="1">
      <alignment horizontal="right" vertical="top" wrapText="1"/>
      <protection/>
    </xf>
    <xf numFmtId="193" fontId="14" fillId="24" borderId="15" xfId="70" applyNumberFormat="1" applyFont="1" applyFill="1" applyBorder="1" applyAlignment="1">
      <alignment horizontal="right" vertical="top" wrapText="1"/>
      <protection/>
    </xf>
    <xf numFmtId="0" fontId="14" fillId="4" borderId="13" xfId="66" applyFont="1" applyFill="1" applyBorder="1" applyAlignment="1">
      <alignment horizontal="center" vertical="center" wrapText="1"/>
      <protection/>
    </xf>
    <xf numFmtId="0" fontId="14" fillId="4" borderId="35" xfId="66" applyFont="1" applyFill="1" applyBorder="1" applyAlignment="1">
      <alignment horizontal="center" vertical="center" wrapText="1"/>
      <protection/>
    </xf>
    <xf numFmtId="193" fontId="4" fillId="0" borderId="0" xfId="66" applyNumberFormat="1" applyAlignment="1">
      <alignment vertical="center"/>
      <protection/>
    </xf>
    <xf numFmtId="0" fontId="15" fillId="0" borderId="40" xfId="58" applyFont="1" applyFill="1" applyBorder="1" applyAlignment="1">
      <alignment horizontal="center" vertical="top" wrapText="1"/>
      <protection/>
    </xf>
    <xf numFmtId="0" fontId="15" fillId="0" borderId="21" xfId="58" applyFont="1" applyFill="1" applyBorder="1" applyAlignment="1">
      <alignment horizontal="center" vertical="top" wrapText="1"/>
      <protection/>
    </xf>
    <xf numFmtId="0" fontId="14" fillId="0" borderId="21" xfId="58" applyFont="1" applyFill="1" applyBorder="1" applyAlignment="1">
      <alignment horizontal="center" vertical="top" wrapText="1"/>
      <protection/>
    </xf>
    <xf numFmtId="0" fontId="14" fillId="4" borderId="15" xfId="69" applyFont="1" applyFill="1" applyBorder="1" applyAlignment="1">
      <alignment horizontal="left" vertical="center"/>
      <protection/>
    </xf>
    <xf numFmtId="0" fontId="14" fillId="0" borderId="15" xfId="69" applyFont="1" applyFill="1" applyBorder="1" applyAlignment="1">
      <alignment horizontal="left" vertical="center"/>
      <protection/>
    </xf>
    <xf numFmtId="0" fontId="14" fillId="0" borderId="15" xfId="69" applyFont="1" applyBorder="1" applyAlignment="1">
      <alignment horizontal="left" vertical="center"/>
      <protection/>
    </xf>
    <xf numFmtId="0" fontId="0" fillId="0" borderId="25" xfId="0" applyBorder="1" applyAlignment="1">
      <alignment vertical="center"/>
    </xf>
    <xf numFmtId="3" fontId="19" fillId="4" borderId="39" xfId="70" applyNumberFormat="1" applyFont="1" applyFill="1" applyBorder="1" applyAlignment="1">
      <alignment horizontal="center" vertical="top"/>
      <protection/>
    </xf>
    <xf numFmtId="3" fontId="6" fillId="0" borderId="41" xfId="0" applyNumberFormat="1" applyFont="1" applyBorder="1" applyAlignment="1">
      <alignment vertical="center"/>
    </xf>
    <xf numFmtId="193" fontId="9" fillId="4" borderId="15" xfId="66" applyNumberFormat="1" applyFont="1" applyFill="1" applyBorder="1" applyAlignment="1">
      <alignment vertical="center"/>
      <protection/>
    </xf>
    <xf numFmtId="193" fontId="9" fillId="4" borderId="15" xfId="66" applyNumberFormat="1" applyFont="1" applyFill="1" applyBorder="1" applyAlignment="1">
      <alignment horizontal="right" vertical="center"/>
      <protection/>
    </xf>
    <xf numFmtId="3" fontId="9" fillId="4" borderId="15" xfId="66" applyNumberFormat="1" applyFont="1" applyFill="1" applyBorder="1" applyAlignment="1">
      <alignment vertical="center"/>
      <protection/>
    </xf>
    <xf numFmtId="193" fontId="8" fillId="0" borderId="0" xfId="66" applyNumberFormat="1" applyFont="1" applyBorder="1" applyAlignment="1">
      <alignment vertical="center"/>
      <protection/>
    </xf>
    <xf numFmtId="193" fontId="15" fillId="0" borderId="15" xfId="0" applyNumberFormat="1" applyFont="1" applyBorder="1" applyAlignment="1">
      <alignment vertical="center"/>
    </xf>
    <xf numFmtId="194" fontId="8" fillId="24" borderId="15" xfId="69" applyNumberFormat="1" applyFont="1" applyFill="1" applyBorder="1" applyAlignment="1">
      <alignment horizontal="center" vertical="center"/>
      <protection/>
    </xf>
    <xf numFmtId="3" fontId="9" fillId="26" borderId="15" xfId="68" applyNumberFormat="1" applyFont="1" applyFill="1" applyBorder="1" applyAlignment="1">
      <alignment vertical="center"/>
      <protection/>
    </xf>
    <xf numFmtId="3" fontId="8" fillId="24" borderId="15" xfId="66" applyNumberFormat="1" applyFont="1" applyFill="1" applyBorder="1" applyAlignment="1">
      <alignment horizontal="right" vertical="center"/>
      <protection/>
    </xf>
    <xf numFmtId="0" fontId="15" fillId="0" borderId="24" xfId="69" applyFont="1" applyBorder="1" applyAlignment="1">
      <alignment vertical="center"/>
      <protection/>
    </xf>
    <xf numFmtId="0" fontId="15" fillId="0" borderId="24" xfId="69" applyFont="1" applyFill="1" applyBorder="1" applyAlignment="1">
      <alignment vertical="center"/>
      <protection/>
    </xf>
    <xf numFmtId="0" fontId="14" fillId="0" borderId="24" xfId="69" applyFont="1" applyBorder="1" applyAlignment="1">
      <alignment vertical="center"/>
      <protection/>
    </xf>
    <xf numFmtId="0" fontId="14" fillId="0" borderId="24" xfId="69" applyFont="1" applyBorder="1" applyAlignment="1">
      <alignment vertical="center" wrapText="1"/>
      <protection/>
    </xf>
    <xf numFmtId="0" fontId="14" fillId="24" borderId="24" xfId="69" applyFont="1" applyFill="1" applyBorder="1" applyAlignment="1">
      <alignment vertical="center"/>
      <protection/>
    </xf>
    <xf numFmtId="0" fontId="8" fillId="0" borderId="24" xfId="58" applyFont="1" applyBorder="1" applyAlignment="1">
      <alignment vertical="center"/>
      <protection/>
    </xf>
    <xf numFmtId="0" fontId="8" fillId="0" borderId="25" xfId="58" applyFont="1" applyBorder="1" applyAlignment="1">
      <alignment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vertical="center"/>
      <protection/>
    </xf>
    <xf numFmtId="0" fontId="8" fillId="24" borderId="24" xfId="58" applyFont="1" applyFill="1" applyBorder="1" applyAlignment="1">
      <alignment vertical="center"/>
      <protection/>
    </xf>
    <xf numFmtId="0" fontId="8" fillId="24" borderId="25" xfId="58" applyFont="1" applyFill="1" applyBorder="1" applyAlignment="1">
      <alignment vertical="center"/>
      <protection/>
    </xf>
    <xf numFmtId="0" fontId="9" fillId="0" borderId="24" xfId="58" applyFont="1" applyBorder="1" applyAlignment="1">
      <alignment vertical="center"/>
      <protection/>
    </xf>
    <xf numFmtId="0" fontId="8" fillId="24" borderId="24" xfId="58" applyFont="1" applyFill="1" applyBorder="1" applyAlignment="1">
      <alignment vertical="top"/>
      <protection/>
    </xf>
    <xf numFmtId="0" fontId="8" fillId="24" borderId="25" xfId="58" applyFont="1" applyFill="1" applyBorder="1" applyAlignment="1">
      <alignment vertical="top"/>
      <protection/>
    </xf>
    <xf numFmtId="0" fontId="9" fillId="24" borderId="24" xfId="58" applyFont="1" applyFill="1" applyBorder="1" applyAlignment="1">
      <alignment vertical="top"/>
      <protection/>
    </xf>
    <xf numFmtId="0" fontId="9" fillId="24" borderId="25" xfId="58" applyFont="1" applyFill="1" applyBorder="1" applyAlignment="1">
      <alignment vertical="top"/>
      <protection/>
    </xf>
    <xf numFmtId="0" fontId="8" fillId="24" borderId="24" xfId="58" applyFont="1" applyFill="1" applyBorder="1" applyAlignment="1">
      <alignment vertical="top" wrapText="1"/>
      <protection/>
    </xf>
    <xf numFmtId="0" fontId="8" fillId="0" borderId="24" xfId="58" applyFont="1" applyBorder="1" applyAlignment="1">
      <alignment vertical="center" wrapText="1"/>
      <protection/>
    </xf>
    <xf numFmtId="0" fontId="8" fillId="0" borderId="25" xfId="58" applyFont="1" applyBorder="1" applyAlignment="1">
      <alignment vertical="center" wrapText="1"/>
      <protection/>
    </xf>
    <xf numFmtId="3" fontId="9" fillId="0" borderId="15" xfId="68" applyNumberFormat="1" applyFont="1" applyFill="1" applyBorder="1" applyAlignment="1">
      <alignment vertical="center"/>
      <protection/>
    </xf>
    <xf numFmtId="3" fontId="8" fillId="0" borderId="15" xfId="66" applyNumberFormat="1" applyFont="1" applyBorder="1">
      <alignment/>
      <protection/>
    </xf>
    <xf numFmtId="3" fontId="8" fillId="24" borderId="15" xfId="66" applyNumberFormat="1" applyFont="1" applyFill="1" applyBorder="1" applyAlignment="1">
      <alignment vertical="center"/>
      <protection/>
    </xf>
    <xf numFmtId="0" fontId="15" fillId="4" borderId="42" xfId="58" applyFont="1" applyFill="1" applyBorder="1" applyAlignment="1">
      <alignment horizontal="centerContinuous" vertical="center"/>
      <protection/>
    </xf>
    <xf numFmtId="0" fontId="14" fillId="4" borderId="43" xfId="58" applyFont="1" applyFill="1" applyBorder="1" applyAlignment="1">
      <alignment horizontal="center" vertical="top"/>
      <protection/>
    </xf>
    <xf numFmtId="0" fontId="14" fillId="0" borderId="24" xfId="58" applyFont="1" applyFill="1" applyBorder="1" applyAlignment="1">
      <alignment horizontal="left" vertical="top"/>
      <protection/>
    </xf>
    <xf numFmtId="0" fontId="14" fillId="0" borderId="24" xfId="58" applyFont="1" applyBorder="1" applyAlignment="1">
      <alignment vertical="center"/>
      <protection/>
    </xf>
    <xf numFmtId="0" fontId="14" fillId="4" borderId="24" xfId="58" applyFont="1" applyFill="1" applyBorder="1" applyAlignment="1">
      <alignment vertical="center"/>
      <protection/>
    </xf>
    <xf numFmtId="0" fontId="14" fillId="24" borderId="24" xfId="58" applyFont="1" applyFill="1" applyBorder="1" applyAlignment="1">
      <alignment vertical="center"/>
      <protection/>
    </xf>
    <xf numFmtId="0" fontId="14" fillId="0" borderId="24" xfId="58" applyFont="1" applyFill="1" applyBorder="1" applyAlignment="1">
      <alignment vertical="center"/>
      <protection/>
    </xf>
    <xf numFmtId="0" fontId="14" fillId="4" borderId="24" xfId="58" applyFont="1" applyFill="1" applyBorder="1" applyAlignment="1">
      <alignment horizontal="left" vertical="center"/>
      <protection/>
    </xf>
    <xf numFmtId="0" fontId="14" fillId="0" borderId="44" xfId="58" applyFont="1" applyFill="1" applyBorder="1" applyAlignment="1">
      <alignment horizontal="left" vertical="top"/>
      <protection/>
    </xf>
    <xf numFmtId="0" fontId="14" fillId="24" borderId="44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top"/>
      <protection/>
    </xf>
    <xf numFmtId="0" fontId="14" fillId="4" borderId="24" xfId="58" applyFont="1" applyFill="1" applyBorder="1">
      <alignment/>
      <protection/>
    </xf>
    <xf numFmtId="0" fontId="14" fillId="0" borderId="25" xfId="58" applyFont="1" applyFill="1" applyBorder="1" applyAlignment="1">
      <alignment horizontal="left" vertical="top"/>
      <protection/>
    </xf>
    <xf numFmtId="0" fontId="14" fillId="0" borderId="25" xfId="58" applyFont="1" applyBorder="1" applyAlignment="1">
      <alignment vertical="center"/>
      <protection/>
    </xf>
    <xf numFmtId="0" fontId="14" fillId="4" borderId="25" xfId="58" applyFont="1" applyFill="1" applyBorder="1" applyAlignment="1">
      <alignment vertical="center"/>
      <protection/>
    </xf>
    <xf numFmtId="0" fontId="14" fillId="24" borderId="25" xfId="58" applyFont="1" applyFill="1" applyBorder="1" applyAlignment="1">
      <alignment vertical="center"/>
      <protection/>
    </xf>
    <xf numFmtId="0" fontId="15" fillId="0" borderId="25" xfId="58" applyFont="1" applyBorder="1" applyAlignment="1">
      <alignment vertical="center"/>
      <protection/>
    </xf>
    <xf numFmtId="0" fontId="14" fillId="0" borderId="25" xfId="58" applyFont="1" applyFill="1" applyBorder="1" applyAlignment="1">
      <alignment vertical="center"/>
      <protection/>
    </xf>
    <xf numFmtId="0" fontId="14" fillId="4" borderId="25" xfId="58" applyFont="1" applyFill="1" applyBorder="1" applyAlignment="1">
      <alignment horizontal="left" vertical="center"/>
      <protection/>
    </xf>
    <xf numFmtId="0" fontId="14" fillId="0" borderId="45" xfId="58" applyFont="1" applyFill="1" applyBorder="1" applyAlignment="1">
      <alignment horizontal="left" vertical="top"/>
      <protection/>
    </xf>
    <xf numFmtId="0" fontId="14" fillId="24" borderId="45" xfId="58" applyFont="1" applyFill="1" applyBorder="1" applyAlignment="1">
      <alignment horizontal="left" vertical="center"/>
      <protection/>
    </xf>
    <xf numFmtId="0" fontId="14" fillId="4" borderId="25" xfId="58" applyFont="1" applyFill="1" applyBorder="1">
      <alignment/>
      <protection/>
    </xf>
    <xf numFmtId="0" fontId="14" fillId="4" borderId="27" xfId="69" applyFont="1" applyFill="1" applyBorder="1" applyAlignment="1">
      <alignment horizontal="center" vertical="center"/>
      <protection/>
    </xf>
    <xf numFmtId="0" fontId="14" fillId="4" borderId="39" xfId="69" applyFont="1" applyFill="1" applyBorder="1" applyAlignment="1">
      <alignment horizontal="center" vertical="top"/>
      <protection/>
    </xf>
    <xf numFmtId="0" fontId="14" fillId="4" borderId="24" xfId="69" applyFont="1" applyFill="1" applyBorder="1" applyAlignment="1">
      <alignment vertical="center"/>
      <protection/>
    </xf>
    <xf numFmtId="0" fontId="14" fillId="0" borderId="24" xfId="69" applyFont="1" applyFill="1" applyBorder="1" applyAlignment="1">
      <alignment vertical="center"/>
      <protection/>
    </xf>
    <xf numFmtId="0" fontId="14" fillId="4" borderId="24" xfId="69" applyFont="1" applyFill="1" applyBorder="1" applyAlignment="1">
      <alignment vertical="center" wrapText="1"/>
      <protection/>
    </xf>
    <xf numFmtId="0" fontId="9" fillId="4" borderId="24" xfId="69" applyFont="1" applyFill="1" applyBorder="1" applyAlignment="1">
      <alignment vertical="center"/>
      <protection/>
    </xf>
    <xf numFmtId="0" fontId="9" fillId="0" borderId="24" xfId="69" applyFont="1" applyFill="1" applyBorder="1" applyAlignment="1">
      <alignment vertical="center"/>
      <protection/>
    </xf>
    <xf numFmtId="0" fontId="9" fillId="24" borderId="24" xfId="69" applyFont="1" applyFill="1" applyBorder="1" applyAlignment="1">
      <alignment vertical="center"/>
      <protection/>
    </xf>
    <xf numFmtId="0" fontId="8" fillId="24" borderId="24" xfId="69" applyFont="1" applyFill="1" applyBorder="1" applyAlignment="1">
      <alignment vertical="center"/>
      <protection/>
    </xf>
    <xf numFmtId="3" fontId="8" fillId="0" borderId="21" xfId="66" applyNumberFormat="1" applyFont="1" applyBorder="1" applyAlignment="1">
      <alignment horizontal="right" vertical="center"/>
      <protection/>
    </xf>
    <xf numFmtId="0" fontId="14" fillId="4" borderId="37" xfId="69" applyFont="1" applyFill="1" applyBorder="1" applyAlignment="1">
      <alignment horizontal="center" vertical="center"/>
      <protection/>
    </xf>
    <xf numFmtId="0" fontId="14" fillId="4" borderId="29" xfId="69" applyFont="1" applyFill="1" applyBorder="1" applyAlignment="1">
      <alignment horizontal="center" vertical="top"/>
      <protection/>
    </xf>
    <xf numFmtId="0" fontId="14" fillId="0" borderId="25" xfId="69" applyFont="1" applyBorder="1" applyAlignment="1">
      <alignment vertical="center"/>
      <protection/>
    </xf>
    <xf numFmtId="0" fontId="15" fillId="0" borderId="25" xfId="69" applyFont="1" applyBorder="1" applyAlignment="1">
      <alignment vertical="center"/>
      <protection/>
    </xf>
    <xf numFmtId="0" fontId="14" fillId="4" borderId="25" xfId="69" applyFont="1" applyFill="1" applyBorder="1" applyAlignment="1">
      <alignment vertical="center"/>
      <protection/>
    </xf>
    <xf numFmtId="0" fontId="14" fillId="0" borderId="25" xfId="69" applyFont="1" applyFill="1" applyBorder="1" applyAlignment="1">
      <alignment vertical="center"/>
      <protection/>
    </xf>
    <xf numFmtId="0" fontId="14" fillId="4" borderId="25" xfId="69" applyFont="1" applyFill="1" applyBorder="1" applyAlignment="1">
      <alignment vertical="center" wrapText="1"/>
      <protection/>
    </xf>
    <xf numFmtId="0" fontId="14" fillId="0" borderId="25" xfId="69" applyFont="1" applyBorder="1" applyAlignment="1">
      <alignment vertical="center" wrapText="1"/>
      <protection/>
    </xf>
    <xf numFmtId="0" fontId="9" fillId="4" borderId="25" xfId="69" applyFont="1" applyFill="1" applyBorder="1" applyAlignment="1">
      <alignment vertical="center"/>
      <protection/>
    </xf>
    <xf numFmtId="0" fontId="9" fillId="0" borderId="25" xfId="69" applyFont="1" applyFill="1" applyBorder="1" applyAlignment="1">
      <alignment vertical="center"/>
      <protection/>
    </xf>
    <xf numFmtId="0" fontId="9" fillId="24" borderId="25" xfId="69" applyFont="1" applyFill="1" applyBorder="1" applyAlignment="1">
      <alignment vertical="center"/>
      <protection/>
    </xf>
    <xf numFmtId="0" fontId="8" fillId="24" borderId="25" xfId="69" applyFont="1" applyFill="1" applyBorder="1" applyAlignment="1">
      <alignment vertical="center" wrapText="1"/>
      <protection/>
    </xf>
    <xf numFmtId="0" fontId="8" fillId="24" borderId="25" xfId="69" applyFont="1" applyFill="1" applyBorder="1" applyAlignment="1">
      <alignment vertical="center"/>
      <protection/>
    </xf>
    <xf numFmtId="0" fontId="19" fillId="4" borderId="42" xfId="66" applyFont="1" applyFill="1" applyBorder="1" applyAlignment="1">
      <alignment horizontal="center" wrapText="1"/>
      <protection/>
    </xf>
    <xf numFmtId="193" fontId="8" fillId="0" borderId="21" xfId="66" applyNumberFormat="1" applyFont="1" applyBorder="1" applyAlignment="1">
      <alignment horizontal="right" vertical="center"/>
      <protection/>
    </xf>
    <xf numFmtId="193" fontId="19" fillId="4" borderId="15" xfId="66" applyNumberFormat="1" applyFont="1" applyFill="1" applyBorder="1" applyAlignment="1">
      <alignment horizontal="right" vertical="center"/>
      <protection/>
    </xf>
    <xf numFmtId="3" fontId="14" fillId="24" borderId="15" xfId="69" applyNumberFormat="1" applyFont="1" applyFill="1" applyBorder="1" applyAlignment="1">
      <alignment vertical="center"/>
      <protection/>
    </xf>
    <xf numFmtId="0" fontId="9" fillId="0" borderId="15" xfId="68" applyFont="1" applyFill="1" applyBorder="1" applyAlignment="1">
      <alignment horizontal="center" vertical="center"/>
      <protection/>
    </xf>
    <xf numFmtId="0" fontId="15" fillId="0" borderId="24" xfId="69" applyFont="1" applyFill="1" applyBorder="1" applyAlignment="1">
      <alignment vertical="center" wrapText="1"/>
      <protection/>
    </xf>
    <xf numFmtId="3" fontId="8" fillId="0" borderId="15" xfId="58" applyNumberFormat="1" applyFont="1" applyBorder="1" applyAlignment="1">
      <alignment vertical="center"/>
      <protection/>
    </xf>
    <xf numFmtId="3" fontId="8" fillId="0" borderId="15" xfId="58" applyNumberFormat="1" applyFont="1" applyFill="1" applyBorder="1" applyAlignment="1">
      <alignment horizontal="right" vertical="center"/>
      <protection/>
    </xf>
    <xf numFmtId="3" fontId="8" fillId="0" borderId="15" xfId="58" applyNumberFormat="1" applyFont="1" applyFill="1" applyBorder="1" applyAlignment="1">
      <alignment vertical="center"/>
      <protection/>
    </xf>
    <xf numFmtId="3" fontId="8" fillId="24" borderId="15" xfId="58" applyNumberFormat="1" applyFont="1" applyFill="1" applyBorder="1" applyAlignment="1">
      <alignment vertical="center"/>
      <protection/>
    </xf>
    <xf numFmtId="3" fontId="8" fillId="24" borderId="15" xfId="58" applyNumberFormat="1" applyFont="1" applyFill="1" applyBorder="1" applyAlignment="1">
      <alignment horizontal="right" vertical="center" wrapText="1"/>
      <protection/>
    </xf>
    <xf numFmtId="3" fontId="8" fillId="24" borderId="15" xfId="58" applyNumberFormat="1" applyFont="1" applyFill="1" applyBorder="1" applyAlignment="1">
      <alignment horizontal="left" vertical="center" wrapText="1"/>
      <protection/>
    </xf>
    <xf numFmtId="0" fontId="15" fillId="0" borderId="29" xfId="58" applyFont="1" applyFill="1" applyBorder="1" applyAlignment="1">
      <alignment horizontal="center" vertical="top" wrapText="1"/>
      <protection/>
    </xf>
    <xf numFmtId="3" fontId="9" fillId="0" borderId="15" xfId="58" applyNumberFormat="1" applyFont="1" applyFill="1" applyBorder="1" applyAlignment="1">
      <alignment vertical="center"/>
      <protection/>
    </xf>
    <xf numFmtId="0" fontId="9" fillId="0" borderId="15" xfId="58" applyFont="1" applyFill="1" applyBorder="1">
      <alignment/>
      <protection/>
    </xf>
    <xf numFmtId="0" fontId="14" fillId="0" borderId="25" xfId="58" applyFont="1" applyFill="1" applyBorder="1">
      <alignment/>
      <protection/>
    </xf>
    <xf numFmtId="3" fontId="14" fillId="0" borderId="15" xfId="58" applyNumberFormat="1" applyFont="1" applyFill="1" applyBorder="1">
      <alignment/>
      <protection/>
    </xf>
    <xf numFmtId="0" fontId="15" fillId="0" borderId="0" xfId="58" applyFont="1">
      <alignment/>
      <protection/>
    </xf>
    <xf numFmtId="3" fontId="19" fillId="4" borderId="24" xfId="0" applyNumberFormat="1" applyFont="1" applyFill="1" applyBorder="1" applyAlignment="1">
      <alignment horizontal="left" vertical="center"/>
    </xf>
    <xf numFmtId="3" fontId="19" fillId="4" borderId="25" xfId="0" applyNumberFormat="1" applyFont="1" applyFill="1" applyBorder="1" applyAlignment="1">
      <alignment horizontal="left" vertical="center"/>
    </xf>
    <xf numFmtId="0" fontId="8" fillId="0" borderId="15" xfId="66" applyFont="1" applyBorder="1" applyAlignment="1">
      <alignment vertical="center"/>
      <protection/>
    </xf>
    <xf numFmtId="3" fontId="8" fillId="0" borderId="15" xfId="66" applyNumberFormat="1" applyFont="1" applyBorder="1" applyAlignment="1">
      <alignment vertical="center"/>
      <protection/>
    </xf>
    <xf numFmtId="0" fontId="8" fillId="24" borderId="25" xfId="58" applyFont="1" applyFill="1" applyBorder="1" applyAlignment="1">
      <alignment horizontal="center" vertical="top"/>
      <protection/>
    </xf>
    <xf numFmtId="3" fontId="14" fillId="4" borderId="30" xfId="0" applyNumberFormat="1" applyFont="1" applyFill="1" applyBorder="1" applyAlignment="1">
      <alignment horizontal="center" vertical="center" wrapText="1"/>
    </xf>
    <xf numFmtId="3" fontId="14" fillId="4" borderId="46" xfId="0" applyNumberFormat="1" applyFont="1" applyFill="1" applyBorder="1" applyAlignment="1">
      <alignment horizontal="center" vertical="center" wrapText="1"/>
    </xf>
    <xf numFmtId="3" fontId="14" fillId="4" borderId="47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3" fontId="14" fillId="0" borderId="15" xfId="0" applyNumberFormat="1" applyFont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3" fontId="15" fillId="0" borderId="15" xfId="0" applyNumberFormat="1" applyFont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vertical="center" wrapText="1"/>
    </xf>
    <xf numFmtId="3" fontId="15" fillId="0" borderId="15" xfId="0" applyNumberFormat="1" applyFont="1" applyBorder="1" applyAlignment="1">
      <alignment/>
    </xf>
    <xf numFmtId="3" fontId="15" fillId="0" borderId="15" xfId="0" applyNumberFormat="1" applyFont="1" applyFill="1" applyBorder="1" applyAlignment="1">
      <alignment vertical="center" wrapText="1"/>
    </xf>
    <xf numFmtId="3" fontId="14" fillId="4" borderId="15" xfId="0" applyNumberFormat="1" applyFont="1" applyFill="1" applyBorder="1" applyAlignment="1">
      <alignment vertical="center" wrapText="1"/>
    </xf>
    <xf numFmtId="3" fontId="14" fillId="4" borderId="38" xfId="0" applyNumberFormat="1" applyFont="1" applyFill="1" applyBorder="1" applyAlignment="1">
      <alignment horizontal="left" vertical="center" wrapText="1"/>
    </xf>
    <xf numFmtId="3" fontId="14" fillId="4" borderId="21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 wrapText="1"/>
    </xf>
    <xf numFmtId="3" fontId="9" fillId="4" borderId="30" xfId="0" applyNumberFormat="1" applyFont="1" applyFill="1" applyBorder="1" applyAlignment="1">
      <alignment horizontal="center" vertical="center" wrapText="1"/>
    </xf>
    <xf numFmtId="3" fontId="9" fillId="4" borderId="31" xfId="0" applyNumberFormat="1" applyFont="1" applyFill="1" applyBorder="1" applyAlignment="1">
      <alignment horizontal="center" vertical="center" wrapText="1"/>
    </xf>
    <xf numFmtId="3" fontId="9" fillId="4" borderId="47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3" fontId="8" fillId="0" borderId="15" xfId="0" applyNumberFormat="1" applyFont="1" applyFill="1" applyBorder="1" applyAlignment="1">
      <alignment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horizontal="center" vertical="center" wrapText="1"/>
    </xf>
    <xf numFmtId="3" fontId="9" fillId="4" borderId="15" xfId="0" applyNumberFormat="1" applyFont="1" applyFill="1" applyBorder="1" applyAlignment="1">
      <alignment vertical="center" wrapText="1"/>
    </xf>
    <xf numFmtId="3" fontId="8" fillId="4" borderId="15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horizontal="center" vertical="center" wrapText="1"/>
    </xf>
    <xf numFmtId="3" fontId="8" fillId="0" borderId="36" xfId="0" applyNumberFormat="1" applyFont="1" applyFill="1" applyBorder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0" fontId="14" fillId="4" borderId="38" xfId="56" applyFont="1" applyFill="1" applyBorder="1" applyAlignment="1">
      <alignment horizontal="center" vertical="top" wrapText="1"/>
      <protection/>
    </xf>
    <xf numFmtId="0" fontId="15" fillId="0" borderId="21" xfId="56" applyFont="1" applyBorder="1" applyAlignment="1">
      <alignment vertical="center"/>
      <protection/>
    </xf>
    <xf numFmtId="3" fontId="14" fillId="4" borderId="15" xfId="56" applyNumberFormat="1" applyFont="1" applyFill="1" applyBorder="1" applyAlignment="1">
      <alignment vertical="center"/>
      <protection/>
    </xf>
    <xf numFmtId="3" fontId="19" fillId="4" borderId="27" xfId="0" applyNumberFormat="1" applyFont="1" applyFill="1" applyBorder="1" applyAlignment="1">
      <alignment horizontal="centerContinuous" vertical="center" wrapText="1"/>
    </xf>
    <xf numFmtId="3" fontId="14" fillId="4" borderId="15" xfId="70" applyNumberFormat="1" applyFont="1" applyFill="1" applyBorder="1" applyAlignment="1">
      <alignment vertical="center"/>
      <protection/>
    </xf>
    <xf numFmtId="0" fontId="9" fillId="0" borderId="25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vertical="center" wrapText="1"/>
      <protection/>
    </xf>
    <xf numFmtId="0" fontId="8" fillId="0" borderId="25" xfId="58" applyFont="1" applyFill="1" applyBorder="1" applyAlignment="1">
      <alignment vertical="center"/>
      <protection/>
    </xf>
    <xf numFmtId="0" fontId="9" fillId="0" borderId="25" xfId="58" applyFont="1" applyBorder="1" applyAlignment="1">
      <alignment vertical="center"/>
      <protection/>
    </xf>
    <xf numFmtId="0" fontId="8" fillId="0" borderId="24" xfId="58" applyFont="1" applyFill="1" applyBorder="1" applyAlignment="1">
      <alignment vertical="top" wrapText="1"/>
      <protection/>
    </xf>
    <xf numFmtId="0" fontId="8" fillId="0" borderId="24" xfId="58" applyFont="1" applyFill="1" applyBorder="1" applyAlignment="1">
      <alignment vertical="top"/>
      <protection/>
    </xf>
    <xf numFmtId="0" fontId="15" fillId="0" borderId="15" xfId="69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left" vertical="center"/>
    </xf>
    <xf numFmtId="3" fontId="8" fillId="24" borderId="25" xfId="58" applyNumberFormat="1" applyFont="1" applyFill="1" applyBorder="1" applyAlignment="1">
      <alignment horizontal="right" vertical="center" wrapText="1"/>
      <protection/>
    </xf>
    <xf numFmtId="49" fontId="8" fillId="0" borderId="15" xfId="66" applyNumberFormat="1" applyFont="1" applyBorder="1" applyAlignment="1">
      <alignment horizontal="center" vertical="center"/>
      <protection/>
    </xf>
    <xf numFmtId="0" fontId="8" fillId="0" borderId="15" xfId="69" applyFont="1" applyFill="1" applyBorder="1" applyAlignment="1">
      <alignment horizontal="center" vertical="center"/>
      <protection/>
    </xf>
    <xf numFmtId="3" fontId="15" fillId="0" borderId="36" xfId="0" applyNumberFormat="1" applyFont="1" applyBorder="1" applyAlignment="1">
      <alignment vertical="center" wrapText="1"/>
    </xf>
    <xf numFmtId="3" fontId="15" fillId="0" borderId="36" xfId="0" applyNumberFormat="1" applyFont="1" applyBorder="1" applyAlignment="1">
      <alignment vertical="center"/>
    </xf>
    <xf numFmtId="3" fontId="8" fillId="0" borderId="25" xfId="58" applyNumberFormat="1" applyFont="1" applyBorder="1" applyAlignment="1">
      <alignment vertical="center"/>
      <protection/>
    </xf>
    <xf numFmtId="0" fontId="14" fillId="0" borderId="15" xfId="69" applyFont="1" applyFill="1" applyBorder="1" applyAlignment="1">
      <alignment horizontal="center" vertical="center" wrapText="1"/>
      <protection/>
    </xf>
    <xf numFmtId="0" fontId="14" fillId="0" borderId="24" xfId="69" applyFont="1" applyFill="1" applyBorder="1" applyAlignment="1">
      <alignment vertical="center" wrapText="1"/>
      <protection/>
    </xf>
    <xf numFmtId="0" fontId="15" fillId="0" borderId="24" xfId="69" applyFont="1" applyFill="1" applyBorder="1" applyAlignment="1">
      <alignment horizontal="left" vertical="center" wrapText="1"/>
      <protection/>
    </xf>
    <xf numFmtId="0" fontId="15" fillId="0" borderId="15" xfId="66" applyFont="1" applyFill="1" applyBorder="1" applyAlignment="1">
      <alignment vertical="center" wrapText="1"/>
      <protection/>
    </xf>
    <xf numFmtId="0" fontId="15" fillId="0" borderId="21" xfId="66" applyFont="1" applyFill="1" applyBorder="1" applyAlignment="1">
      <alignment vertical="center" wrapText="1"/>
      <protection/>
    </xf>
    <xf numFmtId="0" fontId="0" fillId="0" borderId="25" xfId="0" applyFont="1" applyBorder="1" applyAlignment="1">
      <alignment vertical="center"/>
    </xf>
    <xf numFmtId="3" fontId="15" fillId="0" borderId="24" xfId="0" applyNumberFormat="1" applyFont="1" applyFill="1" applyBorder="1" applyAlignment="1">
      <alignment horizontal="left" vertical="center"/>
    </xf>
    <xf numFmtId="0" fontId="9" fillId="24" borderId="25" xfId="58" applyFont="1" applyFill="1" applyBorder="1" applyAlignment="1">
      <alignment vertical="center"/>
      <protection/>
    </xf>
    <xf numFmtId="0" fontId="9" fillId="0" borderId="25" xfId="58" applyFont="1" applyFill="1" applyBorder="1" applyAlignment="1">
      <alignment vertical="center"/>
      <protection/>
    </xf>
    <xf numFmtId="0" fontId="14" fillId="24" borderId="25" xfId="58" applyFont="1" applyFill="1" applyBorder="1" applyAlignment="1">
      <alignment horizontal="left" vertical="center"/>
      <protection/>
    </xf>
    <xf numFmtId="0" fontId="15" fillId="0" borderId="25" xfId="0" applyFont="1" applyBorder="1" applyAlignment="1">
      <alignment vertical="center"/>
    </xf>
    <xf numFmtId="0" fontId="8" fillId="0" borderId="15" xfId="68" applyFont="1" applyFill="1" applyBorder="1" applyAlignment="1">
      <alignment horizontal="center" vertical="center"/>
      <protection/>
    </xf>
    <xf numFmtId="0" fontId="9" fillId="0" borderId="15" xfId="68" applyFont="1" applyFill="1" applyBorder="1" applyAlignment="1">
      <alignment vertical="center"/>
      <protection/>
    </xf>
    <xf numFmtId="0" fontId="9" fillId="0" borderId="15" xfId="56" applyFont="1" applyBorder="1" applyAlignment="1">
      <alignment vertical="center"/>
      <protection/>
    </xf>
    <xf numFmtId="3" fontId="9" fillId="4" borderId="24" xfId="70" applyNumberFormat="1" applyFont="1" applyFill="1" applyBorder="1" applyAlignment="1">
      <alignment horizontal="left" vertical="center" wrapText="1"/>
      <protection/>
    </xf>
    <xf numFmtId="0" fontId="9" fillId="0" borderId="15" xfId="56" applyFont="1" applyFill="1" applyBorder="1" applyAlignment="1">
      <alignment horizontal="center" vertical="center"/>
      <protection/>
    </xf>
    <xf numFmtId="0" fontId="9" fillId="0" borderId="15" xfId="56" applyFont="1" applyFill="1" applyBorder="1" applyAlignment="1">
      <alignment vertical="center"/>
      <protection/>
    </xf>
    <xf numFmtId="3" fontId="9" fillId="0" borderId="15" xfId="68" applyNumberFormat="1" applyFont="1" applyFill="1" applyBorder="1" applyAlignment="1">
      <alignment vertical="center"/>
      <protection/>
    </xf>
    <xf numFmtId="3" fontId="9" fillId="4" borderId="15" xfId="68" applyNumberFormat="1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14" fillId="0" borderId="15" xfId="69" applyFont="1" applyFill="1" applyBorder="1" applyAlignment="1">
      <alignment horizontal="center" vertical="center"/>
      <protection/>
    </xf>
    <xf numFmtId="0" fontId="8" fillId="0" borderId="15" xfId="69" applyFont="1" applyFill="1" applyBorder="1" applyAlignment="1">
      <alignment vertical="center"/>
      <protection/>
    </xf>
    <xf numFmtId="3" fontId="8" fillId="0" borderId="24" xfId="0" applyNumberFormat="1" applyFont="1" applyFill="1" applyBorder="1" applyAlignment="1">
      <alignment vertical="center"/>
    </xf>
    <xf numFmtId="3" fontId="15" fillId="24" borderId="24" xfId="0" applyNumberFormat="1" applyFont="1" applyFill="1" applyBorder="1" applyAlignment="1">
      <alignment vertical="center"/>
    </xf>
    <xf numFmtId="3" fontId="8" fillId="4" borderId="15" xfId="68" applyNumberFormat="1" applyFont="1" applyFill="1" applyBorder="1" applyAlignment="1">
      <alignment vertical="center"/>
      <protection/>
    </xf>
    <xf numFmtId="3" fontId="8" fillId="0" borderId="24" xfId="70" applyNumberFormat="1" applyFont="1" applyFill="1" applyBorder="1" applyAlignment="1">
      <alignment vertical="center"/>
      <protection/>
    </xf>
    <xf numFmtId="0" fontId="8" fillId="0" borderId="24" xfId="69" applyFont="1" applyFill="1" applyBorder="1" applyAlignment="1">
      <alignment vertical="center" wrapText="1"/>
      <protection/>
    </xf>
    <xf numFmtId="3" fontId="8" fillId="0" borderId="0" xfId="0" applyNumberFormat="1" applyFont="1" applyFill="1" applyBorder="1" applyAlignment="1">
      <alignment horizontal="left" vertical="center" wrapText="1"/>
    </xf>
    <xf numFmtId="0" fontId="8" fillId="0" borderId="24" xfId="58" applyFont="1" applyBorder="1" applyAlignment="1">
      <alignment horizontal="center" vertical="center"/>
      <protection/>
    </xf>
    <xf numFmtId="0" fontId="15" fillId="24" borderId="36" xfId="58" applyFont="1" applyFill="1" applyBorder="1" applyAlignment="1">
      <alignment horizontal="center"/>
      <protection/>
    </xf>
    <xf numFmtId="0" fontId="15" fillId="24" borderId="37" xfId="58" applyFont="1" applyFill="1" applyBorder="1" applyAlignment="1">
      <alignment horizontal="center"/>
      <protection/>
    </xf>
    <xf numFmtId="3" fontId="8" fillId="0" borderId="48" xfId="0" applyNumberFormat="1" applyFont="1" applyFill="1" applyBorder="1" applyAlignment="1">
      <alignment horizontal="left" vertical="center" wrapText="1"/>
    </xf>
    <xf numFmtId="0" fontId="8" fillId="0" borderId="24" xfId="69" applyFont="1" applyBorder="1" applyAlignment="1">
      <alignment vertical="center"/>
      <protection/>
    </xf>
    <xf numFmtId="3" fontId="8" fillId="27" borderId="49" xfId="0" applyNumberFormat="1" applyFont="1" applyFill="1" applyBorder="1" applyAlignment="1">
      <alignment horizontal="left" vertical="center" wrapText="1"/>
    </xf>
    <xf numFmtId="0" fontId="8" fillId="27" borderId="49" xfId="0" applyFont="1" applyFill="1" applyBorder="1" applyAlignment="1">
      <alignment horizontal="left" vertical="center" wrapText="1"/>
    </xf>
    <xf numFmtId="3" fontId="8" fillId="27" borderId="50" xfId="0" applyNumberFormat="1" applyFont="1" applyFill="1" applyBorder="1" applyAlignment="1">
      <alignment vertical="center" wrapText="1"/>
    </xf>
    <xf numFmtId="0" fontId="8" fillId="0" borderId="51" xfId="0" applyFont="1" applyBorder="1" applyAlignment="1">
      <alignment horizontal="left" wrapText="1"/>
    </xf>
    <xf numFmtId="0" fontId="8" fillId="0" borderId="51" xfId="0" applyFont="1" applyBorder="1" applyAlignment="1">
      <alignment wrapText="1"/>
    </xf>
    <xf numFmtId="0" fontId="8" fillId="0" borderId="52" xfId="0" applyFont="1" applyBorder="1" applyAlignment="1">
      <alignment wrapText="1"/>
    </xf>
    <xf numFmtId="0" fontId="8" fillId="0" borderId="53" xfId="0" applyFont="1" applyBorder="1" applyAlignment="1">
      <alignment wrapText="1"/>
    </xf>
    <xf numFmtId="0" fontId="8" fillId="0" borderId="50" xfId="0" applyFont="1" applyBorder="1" applyAlignment="1">
      <alignment wrapText="1"/>
    </xf>
    <xf numFmtId="0" fontId="8" fillId="27" borderId="49" xfId="58" applyFont="1" applyFill="1" applyBorder="1" applyAlignment="1">
      <alignment vertical="top"/>
      <protection/>
    </xf>
    <xf numFmtId="0" fontId="8" fillId="27" borderId="49" xfId="58" applyFont="1" applyFill="1" applyBorder="1" applyAlignment="1">
      <alignment vertical="top" wrapText="1"/>
      <protection/>
    </xf>
    <xf numFmtId="0" fontId="8" fillId="24" borderId="24" xfId="58" applyFont="1" applyFill="1" applyBorder="1" applyAlignment="1">
      <alignment horizontal="left" vertical="top" wrapText="1"/>
      <protection/>
    </xf>
    <xf numFmtId="3" fontId="8" fillId="0" borderId="54" xfId="0" applyNumberFormat="1" applyFont="1" applyBorder="1" applyAlignment="1">
      <alignment vertical="center" wrapText="1"/>
    </xf>
    <xf numFmtId="0" fontId="8" fillId="0" borderId="49" xfId="58" applyFont="1" applyFill="1" applyBorder="1" applyAlignment="1">
      <alignment vertical="top"/>
      <protection/>
    </xf>
    <xf numFmtId="3" fontId="8" fillId="0" borderId="15" xfId="58" applyNumberFormat="1" applyFont="1" applyFill="1" applyBorder="1" applyAlignment="1">
      <alignment horizontal="right" vertical="center" wrapText="1"/>
      <protection/>
    </xf>
    <xf numFmtId="0" fontId="15" fillId="0" borderId="24" xfId="69" applyFont="1" applyFill="1" applyBorder="1" applyAlignment="1">
      <alignment horizontal="left" vertical="center"/>
      <protection/>
    </xf>
    <xf numFmtId="0" fontId="9" fillId="0" borderId="24" xfId="69" applyFont="1" applyBorder="1" applyAlignment="1">
      <alignment vertical="center"/>
      <protection/>
    </xf>
    <xf numFmtId="0" fontId="9" fillId="0" borderId="25" xfId="69" applyFont="1" applyBorder="1" applyAlignment="1">
      <alignment vertical="center"/>
      <protection/>
    </xf>
    <xf numFmtId="0" fontId="8" fillId="0" borderId="25" xfId="69" applyFont="1" applyBorder="1" applyAlignment="1">
      <alignment vertical="center"/>
      <protection/>
    </xf>
    <xf numFmtId="0" fontId="8" fillId="0" borderId="24" xfId="69" applyFont="1" applyBorder="1" applyAlignment="1">
      <alignment vertical="center" wrapText="1"/>
      <protection/>
    </xf>
    <xf numFmtId="0" fontId="9" fillId="0" borderId="25" xfId="69" applyFont="1" applyBorder="1" applyAlignment="1">
      <alignment vertical="center" wrapText="1"/>
      <protection/>
    </xf>
    <xf numFmtId="0" fontId="9" fillId="0" borderId="24" xfId="69" applyFont="1" applyBorder="1" applyAlignment="1">
      <alignment vertical="center" wrapText="1"/>
      <protection/>
    </xf>
    <xf numFmtId="49" fontId="8" fillId="0" borderId="55" xfId="0" applyNumberFormat="1" applyFont="1" applyBorder="1" applyAlignment="1">
      <alignment horizontal="left" vertical="center" wrapText="1"/>
    </xf>
    <xf numFmtId="49" fontId="8" fillId="0" borderId="49" xfId="0" applyNumberFormat="1" applyFont="1" applyBorder="1" applyAlignment="1">
      <alignment horizontal="left" vertical="center" wrapText="1"/>
    </xf>
    <xf numFmtId="0" fontId="8" fillId="24" borderId="24" xfId="69" applyFont="1" applyFill="1" applyBorder="1" applyAlignment="1">
      <alignment vertical="center" wrapText="1"/>
      <protection/>
    </xf>
    <xf numFmtId="0" fontId="8" fillId="0" borderId="54" xfId="0" applyFont="1" applyBorder="1" applyAlignment="1">
      <alignment horizontal="left" wrapText="1"/>
    </xf>
    <xf numFmtId="0" fontId="8" fillId="0" borderId="52" xfId="0" applyFont="1" applyBorder="1" applyAlignment="1">
      <alignment horizontal="left" wrapText="1"/>
    </xf>
    <xf numFmtId="0" fontId="8" fillId="0" borderId="24" xfId="69" applyFont="1" applyFill="1" applyBorder="1" applyAlignment="1">
      <alignment vertical="center"/>
      <protection/>
    </xf>
    <xf numFmtId="0" fontId="8" fillId="27" borderId="24" xfId="58" applyFont="1" applyFill="1" applyBorder="1" applyAlignment="1">
      <alignment vertical="center" wrapText="1"/>
      <protection/>
    </xf>
    <xf numFmtId="3" fontId="14" fillId="0" borderId="25" xfId="0" applyNumberFormat="1" applyFont="1" applyBorder="1" applyAlignment="1">
      <alignment vertical="center" wrapText="1"/>
    </xf>
    <xf numFmtId="0" fontId="15" fillId="24" borderId="25" xfId="58" applyFont="1" applyFill="1" applyBorder="1" applyAlignment="1">
      <alignment vertical="center"/>
      <protection/>
    </xf>
    <xf numFmtId="0" fontId="15" fillId="24" borderId="15" xfId="58" applyFont="1" applyFill="1" applyBorder="1" applyAlignment="1">
      <alignment vertical="center"/>
      <protection/>
    </xf>
    <xf numFmtId="3" fontId="15" fillId="0" borderId="25" xfId="0" applyNumberFormat="1" applyFont="1" applyFill="1" applyBorder="1" applyAlignment="1">
      <alignment horizontal="left" vertical="center"/>
    </xf>
    <xf numFmtId="0" fontId="8" fillId="0" borderId="24" xfId="58" applyFont="1" applyFill="1" applyBorder="1" applyAlignment="1">
      <alignment horizontal="left" vertical="center" wrapText="1"/>
      <protection/>
    </xf>
    <xf numFmtId="3" fontId="8" fillId="0" borderId="25" xfId="0" applyNumberFormat="1" applyFont="1" applyFill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3" fontId="15" fillId="0" borderId="22" xfId="0" applyNumberFormat="1" applyFont="1" applyFill="1" applyBorder="1" applyAlignment="1">
      <alignment horizontal="left" vertical="center"/>
    </xf>
    <xf numFmtId="0" fontId="8" fillId="0" borderId="24" xfId="0" applyFont="1" applyFill="1" applyBorder="1" applyAlignment="1">
      <alignment wrapText="1"/>
    </xf>
    <xf numFmtId="0" fontId="8" fillId="0" borderId="24" xfId="58" applyFont="1" applyFill="1" applyBorder="1" applyAlignment="1">
      <alignment horizontal="left" vertical="center"/>
      <protection/>
    </xf>
    <xf numFmtId="0" fontId="15" fillId="0" borderId="15" xfId="56" applyFont="1" applyFill="1" applyBorder="1" applyAlignment="1">
      <alignment horizontal="center" vertical="center"/>
      <protection/>
    </xf>
    <xf numFmtId="3" fontId="9" fillId="0" borderId="21" xfId="68" applyNumberFormat="1" applyFont="1" applyFill="1" applyBorder="1" applyAlignment="1">
      <alignment vertical="center"/>
      <protection/>
    </xf>
    <xf numFmtId="3" fontId="8" fillId="0" borderId="56" xfId="0" applyNumberFormat="1" applyFont="1" applyFill="1" applyBorder="1" applyAlignment="1">
      <alignment horizontal="left" vertical="center" wrapText="1"/>
    </xf>
    <xf numFmtId="0" fontId="14" fillId="4" borderId="15" xfId="56" applyFont="1" applyFill="1" applyBorder="1" applyAlignment="1">
      <alignment vertical="center" wrapText="1"/>
      <protection/>
    </xf>
    <xf numFmtId="0" fontId="9" fillId="4" borderId="15" xfId="56" applyFont="1" applyFill="1" applyBorder="1" applyAlignment="1">
      <alignment vertical="center" wrapText="1"/>
      <protection/>
    </xf>
    <xf numFmtId="3" fontId="14" fillId="0" borderId="15" xfId="70" applyNumberFormat="1" applyFont="1" applyFill="1" applyBorder="1" applyAlignment="1">
      <alignment vertical="center"/>
      <protection/>
    </xf>
    <xf numFmtId="0" fontId="9" fillId="4" borderId="29" xfId="66" applyFont="1" applyFill="1" applyBorder="1" applyAlignment="1">
      <alignment horizontal="center" vertical="top" wrapText="1"/>
      <protection/>
    </xf>
    <xf numFmtId="0" fontId="9" fillId="4" borderId="57" xfId="66" applyFont="1" applyFill="1" applyBorder="1" applyAlignment="1">
      <alignment horizontal="center" vertical="top" wrapText="1"/>
      <protection/>
    </xf>
    <xf numFmtId="0" fontId="9" fillId="4" borderId="38" xfId="66" applyFont="1" applyFill="1" applyBorder="1" applyAlignment="1">
      <alignment horizontal="center" vertical="center" wrapText="1"/>
      <protection/>
    </xf>
    <xf numFmtId="0" fontId="9" fillId="4" borderId="38" xfId="66" applyFont="1" applyFill="1" applyBorder="1" applyAlignment="1">
      <alignment horizontal="center" vertical="top" wrapText="1"/>
      <protection/>
    </xf>
    <xf numFmtId="0" fontId="9" fillId="4" borderId="0" xfId="66" applyFont="1" applyFill="1" applyBorder="1" applyAlignment="1">
      <alignment horizontal="center" vertical="top" wrapText="1"/>
      <protection/>
    </xf>
    <xf numFmtId="0" fontId="9" fillId="4" borderId="36" xfId="66" applyFont="1" applyFill="1" applyBorder="1" applyAlignment="1">
      <alignment horizontal="center" vertical="top" wrapText="1"/>
      <protection/>
    </xf>
    <xf numFmtId="0" fontId="19" fillId="4" borderId="0" xfId="66" applyFont="1" applyFill="1" applyBorder="1" applyAlignment="1">
      <alignment horizontal="center" vertical="top" wrapText="1"/>
      <protection/>
    </xf>
    <xf numFmtId="0" fontId="9" fillId="4" borderId="58" xfId="66" applyFont="1" applyFill="1" applyBorder="1" applyAlignment="1">
      <alignment horizontal="center" vertical="top" wrapText="1"/>
      <protection/>
    </xf>
    <xf numFmtId="0" fontId="9" fillId="4" borderId="36" xfId="66" applyFont="1" applyFill="1" applyBorder="1" applyAlignment="1">
      <alignment horizontal="center" vertical="center" wrapText="1"/>
      <protection/>
    </xf>
    <xf numFmtId="0" fontId="9" fillId="4" borderId="59" xfId="66" applyFont="1" applyFill="1" applyBorder="1" applyAlignment="1">
      <alignment horizontal="center" vertical="top" wrapText="1"/>
      <protection/>
    </xf>
    <xf numFmtId="0" fontId="8" fillId="0" borderId="21" xfId="66" applyFont="1" applyBorder="1" applyAlignment="1">
      <alignment horizontal="center" vertical="center"/>
      <protection/>
    </xf>
    <xf numFmtId="3" fontId="8" fillId="0" borderId="21" xfId="66" applyNumberFormat="1" applyFont="1" applyBorder="1" applyAlignment="1">
      <alignment vertical="center"/>
      <protection/>
    </xf>
    <xf numFmtId="0" fontId="9" fillId="0" borderId="15" xfId="66" applyFont="1" applyFill="1" applyBorder="1" applyAlignment="1">
      <alignment horizontal="center" vertical="top" wrapText="1"/>
      <protection/>
    </xf>
    <xf numFmtId="0" fontId="9" fillId="0" borderId="15" xfId="66" applyFont="1" applyFill="1" applyBorder="1" applyAlignment="1">
      <alignment horizontal="center" vertical="center" wrapText="1"/>
      <protection/>
    </xf>
    <xf numFmtId="0" fontId="19" fillId="0" borderId="15" xfId="66" applyFont="1" applyFill="1" applyBorder="1" applyAlignment="1">
      <alignment horizontal="center" vertical="top" wrapText="1"/>
      <protection/>
    </xf>
    <xf numFmtId="0" fontId="14" fillId="4" borderId="11" xfId="66" applyFont="1" applyFill="1" applyBorder="1" applyAlignment="1">
      <alignment horizontal="center" vertical="center" wrapText="1"/>
      <protection/>
    </xf>
    <xf numFmtId="0" fontId="14" fillId="4" borderId="12" xfId="66" applyFont="1" applyFill="1" applyBorder="1" applyAlignment="1">
      <alignment horizontal="center" vertical="center" wrapText="1"/>
      <protection/>
    </xf>
    <xf numFmtId="0" fontId="8" fillId="0" borderId="15" xfId="66" applyFont="1" applyFill="1" applyBorder="1" applyAlignment="1">
      <alignment vertical="center"/>
      <protection/>
    </xf>
    <xf numFmtId="0" fontId="9" fillId="4" borderId="0" xfId="66" applyFont="1" applyFill="1" applyBorder="1" applyAlignment="1">
      <alignment horizontal="center" vertical="center" wrapText="1"/>
      <protection/>
    </xf>
    <xf numFmtId="0" fontId="9" fillId="4" borderId="29" xfId="66" applyFont="1" applyFill="1" applyBorder="1" applyAlignment="1">
      <alignment horizontal="center" vertical="center" wrapText="1"/>
      <protection/>
    </xf>
    <xf numFmtId="0" fontId="9" fillId="4" borderId="33" xfId="66" applyFont="1" applyFill="1" applyBorder="1" applyAlignment="1">
      <alignment horizontal="center" vertical="top" wrapText="1"/>
      <protection/>
    </xf>
    <xf numFmtId="0" fontId="9" fillId="4" borderId="32" xfId="66" applyFont="1" applyFill="1" applyBorder="1" applyAlignment="1">
      <alignment horizontal="center" vertical="center" wrapText="1"/>
      <protection/>
    </xf>
    <xf numFmtId="193" fontId="8" fillId="0" borderId="21" xfId="66" applyNumberFormat="1" applyFont="1" applyBorder="1" applyAlignment="1">
      <alignment vertical="center"/>
      <protection/>
    </xf>
    <xf numFmtId="193" fontId="8" fillId="0" borderId="21" xfId="66" applyNumberFormat="1" applyFont="1" applyFill="1" applyBorder="1" applyAlignment="1">
      <alignment horizontal="right" vertical="center"/>
      <protection/>
    </xf>
    <xf numFmtId="0" fontId="8" fillId="0" borderId="15" xfId="66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wrapText="1"/>
    </xf>
    <xf numFmtId="0" fontId="8" fillId="0" borderId="15" xfId="66" applyFont="1" applyFill="1" applyBorder="1" applyAlignment="1">
      <alignment horizontal="left" vertical="top" wrapText="1"/>
      <protection/>
    </xf>
    <xf numFmtId="3" fontId="8" fillId="0" borderId="60" xfId="0" applyNumberFormat="1" applyFont="1" applyFill="1" applyBorder="1" applyAlignment="1">
      <alignment horizontal="left" vertical="center" wrapText="1"/>
    </xf>
    <xf numFmtId="0" fontId="8" fillId="0" borderId="24" xfId="69" applyFont="1" applyFill="1" applyBorder="1" applyAlignment="1">
      <alignment horizontal="left" vertical="center" wrapText="1"/>
      <protection/>
    </xf>
    <xf numFmtId="0" fontId="8" fillId="0" borderId="60" xfId="0" applyFont="1" applyBorder="1" applyAlignment="1">
      <alignment horizontal="left" vertical="center" wrapText="1"/>
    </xf>
    <xf numFmtId="0" fontId="8" fillId="0" borderId="24" xfId="63" applyFont="1" applyFill="1" applyBorder="1" applyAlignment="1">
      <alignment vertical="center" wrapText="1"/>
      <protection/>
    </xf>
    <xf numFmtId="0" fontId="8" fillId="0" borderId="23" xfId="0" applyFont="1" applyBorder="1" applyAlignment="1">
      <alignment wrapText="1"/>
    </xf>
    <xf numFmtId="2" fontId="8" fillId="0" borderId="61" xfId="63" applyNumberFormat="1" applyFont="1" applyFill="1" applyBorder="1" applyAlignment="1">
      <alignment vertical="center" wrapText="1"/>
      <protection/>
    </xf>
    <xf numFmtId="2" fontId="8" fillId="0" borderId="24" xfId="63" applyNumberFormat="1" applyFont="1" applyFill="1" applyBorder="1" applyAlignment="1">
      <alignment vertical="center" wrapText="1"/>
      <protection/>
    </xf>
    <xf numFmtId="0" fontId="8" fillId="0" borderId="24" xfId="63" applyFont="1" applyFill="1" applyBorder="1" applyAlignment="1">
      <alignment horizontal="left" vertical="center" wrapText="1"/>
      <protection/>
    </xf>
    <xf numFmtId="49" fontId="8" fillId="0" borderId="24" xfId="63" applyNumberFormat="1" applyFont="1" applyFill="1" applyBorder="1" applyAlignment="1">
      <alignment horizontal="left" vertical="center" wrapText="1"/>
      <protection/>
    </xf>
    <xf numFmtId="3" fontId="8" fillId="0" borderId="24" xfId="63" applyNumberFormat="1" applyFont="1" applyFill="1" applyBorder="1" applyAlignment="1">
      <alignment vertical="center" wrapText="1"/>
      <protection/>
    </xf>
    <xf numFmtId="3" fontId="8" fillId="0" borderId="24" xfId="63" applyNumberFormat="1" applyFont="1" applyFill="1" applyBorder="1" applyAlignment="1">
      <alignment horizontal="left" vertical="center" wrapText="1"/>
      <protection/>
    </xf>
    <xf numFmtId="0" fontId="8" fillId="0" borderId="48" xfId="0" applyFont="1" applyFill="1" applyBorder="1" applyAlignment="1">
      <alignment horizontal="left" vertical="center" wrapText="1"/>
    </xf>
    <xf numFmtId="0" fontId="8" fillId="0" borderId="62" xfId="0" applyFont="1" applyFill="1" applyBorder="1" applyAlignment="1">
      <alignment horizontal="left" vertical="center" wrapText="1"/>
    </xf>
    <xf numFmtId="0" fontId="8" fillId="0" borderId="24" xfId="62" applyFont="1" applyBorder="1" applyAlignment="1">
      <alignment vertical="center" wrapText="1"/>
      <protection/>
    </xf>
    <xf numFmtId="3" fontId="8" fillId="0" borderId="24" xfId="62" applyNumberFormat="1" applyFont="1" applyFill="1" applyBorder="1" applyAlignment="1">
      <alignment vertical="center" wrapText="1"/>
      <protection/>
    </xf>
    <xf numFmtId="0" fontId="8" fillId="0" borderId="49" xfId="59" applyFont="1" applyFill="1" applyBorder="1" applyAlignment="1">
      <alignment vertical="center" wrapText="1"/>
      <protection/>
    </xf>
    <xf numFmtId="0" fontId="8" fillId="27" borderId="60" xfId="59" applyFont="1" applyFill="1" applyBorder="1" applyAlignment="1">
      <alignment vertical="center"/>
      <protection/>
    </xf>
    <xf numFmtId="0" fontId="8" fillId="0" borderId="24" xfId="63" applyFont="1" applyBorder="1" applyAlignment="1">
      <alignment vertical="center" wrapText="1"/>
      <protection/>
    </xf>
    <xf numFmtId="49" fontId="8" fillId="0" borderId="24" xfId="64" applyNumberFormat="1" applyFont="1" applyBorder="1" applyAlignment="1">
      <alignment horizontal="left" vertical="center" wrapText="1"/>
      <protection/>
    </xf>
    <xf numFmtId="49" fontId="8" fillId="0" borderId="63" xfId="64" applyNumberFormat="1" applyFont="1" applyBorder="1" applyAlignment="1">
      <alignment horizontal="left" vertical="center" wrapText="1"/>
      <protection/>
    </xf>
    <xf numFmtId="3" fontId="8" fillId="0" borderId="49" xfId="0" applyNumberFormat="1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wrapText="1"/>
    </xf>
    <xf numFmtId="0" fontId="8" fillId="24" borderId="24" xfId="59" applyFont="1" applyFill="1" applyBorder="1" applyAlignment="1">
      <alignment vertical="center" wrapText="1"/>
      <protection/>
    </xf>
    <xf numFmtId="3" fontId="8" fillId="0" borderId="24" xfId="62" applyNumberFormat="1" applyFont="1" applyBorder="1" applyAlignment="1">
      <alignment vertical="center" wrapText="1"/>
      <protection/>
    </xf>
    <xf numFmtId="0" fontId="8" fillId="0" borderId="24" xfId="58" applyFont="1" applyFill="1" applyBorder="1" applyAlignment="1">
      <alignment horizontal="left" vertical="top" wrapText="1"/>
      <protection/>
    </xf>
    <xf numFmtId="49" fontId="8" fillId="0" borderId="23" xfId="0" applyNumberFormat="1" applyFont="1" applyFill="1" applyBorder="1" applyAlignment="1">
      <alignment horizontal="left" vertical="top" wrapText="1"/>
    </xf>
    <xf numFmtId="49" fontId="8" fillId="0" borderId="64" xfId="0" applyNumberFormat="1" applyFont="1" applyFill="1" applyBorder="1" applyAlignment="1">
      <alignment horizontal="left" vertical="top" wrapText="1"/>
    </xf>
    <xf numFmtId="49" fontId="8" fillId="0" borderId="24" xfId="0" applyNumberFormat="1" applyFont="1" applyFill="1" applyBorder="1" applyAlignment="1">
      <alignment horizontal="left" vertical="top" wrapText="1"/>
    </xf>
    <xf numFmtId="49" fontId="8" fillId="0" borderId="54" xfId="0" applyNumberFormat="1" applyFont="1" applyFill="1" applyBorder="1" applyAlignment="1">
      <alignment horizontal="left" vertical="top" wrapText="1"/>
    </xf>
    <xf numFmtId="49" fontId="8" fillId="0" borderId="50" xfId="0" applyNumberFormat="1" applyFont="1" applyFill="1" applyBorder="1" applyAlignment="1">
      <alignment horizontal="left" vertical="top" wrapText="1"/>
    </xf>
    <xf numFmtId="49" fontId="8" fillId="0" borderId="65" xfId="0" applyNumberFormat="1" applyFont="1" applyFill="1" applyBorder="1" applyAlignment="1">
      <alignment horizontal="left" vertical="top" wrapText="1"/>
    </xf>
    <xf numFmtId="3" fontId="8" fillId="0" borderId="50" xfId="0" applyNumberFormat="1" applyFont="1" applyFill="1" applyBorder="1" applyAlignment="1">
      <alignment horizontal="left" vertical="top" wrapText="1"/>
    </xf>
    <xf numFmtId="3" fontId="8" fillId="27" borderId="24" xfId="0" applyNumberFormat="1" applyFont="1" applyFill="1" applyBorder="1" applyAlignment="1">
      <alignment horizontal="left" vertical="top" wrapText="1"/>
    </xf>
    <xf numFmtId="49" fontId="8" fillId="0" borderId="24" xfId="0" applyNumberFormat="1" applyFont="1" applyBorder="1" applyAlignment="1">
      <alignment horizontal="left" vertical="top" wrapText="1"/>
    </xf>
    <xf numFmtId="0" fontId="8" fillId="27" borderId="54" xfId="58" applyFont="1" applyFill="1" applyBorder="1" applyAlignment="1">
      <alignment vertical="top" wrapText="1"/>
      <protection/>
    </xf>
    <xf numFmtId="0" fontId="8" fillId="27" borderId="63" xfId="58" applyFont="1" applyFill="1" applyBorder="1" applyAlignment="1">
      <alignment vertical="top" wrapText="1"/>
      <protection/>
    </xf>
    <xf numFmtId="49" fontId="8" fillId="0" borderId="49" xfId="0" applyNumberFormat="1" applyFont="1" applyFill="1" applyBorder="1" applyAlignment="1">
      <alignment horizontal="left" vertical="center" wrapText="1"/>
    </xf>
    <xf numFmtId="16" fontId="8" fillId="24" borderId="15" xfId="58" applyNumberFormat="1" applyFont="1" applyFill="1" applyBorder="1" applyAlignment="1">
      <alignment horizontal="center" vertical="center" wrapText="1"/>
      <protection/>
    </xf>
    <xf numFmtId="49" fontId="8" fillId="0" borderId="66" xfId="0" applyNumberFormat="1" applyFont="1" applyBorder="1" applyAlignment="1">
      <alignment horizontal="left" vertical="center" wrapText="1"/>
    </xf>
    <xf numFmtId="0" fontId="8" fillId="27" borderId="49" xfId="58" applyFont="1" applyFill="1" applyBorder="1" applyAlignment="1">
      <alignment horizontal="left" vertical="top" wrapText="1"/>
      <protection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4" xfId="0" applyNumberFormat="1" applyFont="1" applyFill="1" applyBorder="1" applyAlignment="1">
      <alignment vertical="center" wrapText="1"/>
    </xf>
    <xf numFmtId="49" fontId="8" fillId="0" borderId="49" xfId="0" applyNumberFormat="1" applyFont="1" applyFill="1" applyBorder="1" applyAlignment="1">
      <alignment vertical="top" wrapText="1"/>
    </xf>
    <xf numFmtId="3" fontId="8" fillId="27" borderId="50" xfId="0" applyNumberFormat="1" applyFont="1" applyFill="1" applyBorder="1" applyAlignment="1">
      <alignment horizontal="left" vertical="top" wrapText="1"/>
    </xf>
    <xf numFmtId="0" fontId="8" fillId="0" borderId="44" xfId="0" applyFont="1" applyFill="1" applyBorder="1" applyAlignment="1">
      <alignment vertical="center" wrapText="1"/>
    </xf>
    <xf numFmtId="3" fontId="9" fillId="4" borderId="15" xfId="58" applyNumberFormat="1" applyFont="1" applyFill="1" applyBorder="1" applyAlignment="1">
      <alignment vertical="center"/>
      <protection/>
    </xf>
    <xf numFmtId="3" fontId="9" fillId="4" borderId="15" xfId="58" applyNumberFormat="1" applyFont="1" applyFill="1" applyBorder="1" applyAlignment="1">
      <alignment horizontal="right" vertical="center"/>
      <protection/>
    </xf>
    <xf numFmtId="3" fontId="9" fillId="4" borderId="15" xfId="58" applyNumberFormat="1" applyFont="1" applyFill="1" applyBorder="1">
      <alignment/>
      <protection/>
    </xf>
    <xf numFmtId="0" fontId="8" fillId="0" borderId="49" xfId="59" applyFont="1" applyFill="1" applyBorder="1" applyAlignment="1">
      <alignment vertical="center"/>
      <protection/>
    </xf>
    <xf numFmtId="3" fontId="15" fillId="0" borderId="60" xfId="0" applyNumberFormat="1" applyFont="1" applyFill="1" applyBorder="1" applyAlignment="1">
      <alignment horizontal="left" vertical="center" wrapText="1"/>
    </xf>
    <xf numFmtId="0" fontId="15" fillId="0" borderId="60" xfId="0" applyFont="1" applyBorder="1" applyAlignment="1">
      <alignment horizontal="left" vertical="center" wrapText="1"/>
    </xf>
    <xf numFmtId="0" fontId="15" fillId="0" borderId="54" xfId="69" applyFont="1" applyFill="1" applyBorder="1" applyAlignment="1">
      <alignment vertical="center"/>
      <protection/>
    </xf>
    <xf numFmtId="3" fontId="8" fillId="0" borderId="52" xfId="63" applyNumberFormat="1" applyFont="1" applyFill="1" applyBorder="1" applyAlignment="1">
      <alignment vertical="center" wrapText="1"/>
      <protection/>
    </xf>
    <xf numFmtId="0" fontId="8" fillId="0" borderId="24" xfId="62" applyFont="1" applyFill="1" applyBorder="1" applyAlignment="1">
      <alignment vertical="center" wrapText="1"/>
      <protection/>
    </xf>
    <xf numFmtId="49" fontId="8" fillId="0" borderId="24" xfId="65" applyNumberFormat="1" applyFont="1" applyFill="1" applyBorder="1" applyAlignment="1">
      <alignment horizontal="left" vertical="center" wrapText="1"/>
      <protection/>
    </xf>
    <xf numFmtId="3" fontId="8" fillId="0" borderId="24" xfId="65" applyNumberFormat="1" applyFont="1" applyBorder="1" applyAlignment="1">
      <alignment horizontal="left" vertical="center" wrapText="1"/>
      <protection/>
    </xf>
    <xf numFmtId="3" fontId="8" fillId="0" borderId="24" xfId="65" applyNumberFormat="1" applyFont="1" applyFill="1" applyBorder="1" applyAlignment="1">
      <alignment horizontal="left" vertical="center" wrapText="1"/>
      <protection/>
    </xf>
    <xf numFmtId="49" fontId="8" fillId="0" borderId="24" xfId="65" applyNumberFormat="1" applyFont="1" applyBorder="1" applyAlignment="1">
      <alignment horizontal="left" vertical="center" wrapText="1"/>
      <protection/>
    </xf>
    <xf numFmtId="0" fontId="8" fillId="0" borderId="44" xfId="0" applyFont="1" applyBorder="1" applyAlignment="1">
      <alignment wrapText="1"/>
    </xf>
    <xf numFmtId="0" fontId="8" fillId="0" borderId="24" xfId="69" applyFont="1" applyFill="1" applyBorder="1" applyAlignment="1">
      <alignment horizontal="left" vertical="center"/>
      <protection/>
    </xf>
    <xf numFmtId="0" fontId="17" fillId="0" borderId="15" xfId="66" applyFont="1" applyFill="1" applyBorder="1" applyAlignment="1">
      <alignment horizontal="center" vertical="center"/>
      <protection/>
    </xf>
    <xf numFmtId="0" fontId="15" fillId="0" borderId="15" xfId="66" applyFont="1" applyFill="1" applyBorder="1" applyAlignment="1">
      <alignment horizontal="center" vertical="center"/>
      <protection/>
    </xf>
    <xf numFmtId="0" fontId="14" fillId="4" borderId="33" xfId="66" applyFont="1" applyFill="1" applyBorder="1" applyAlignment="1">
      <alignment horizontal="center" vertical="center" wrapText="1"/>
      <protection/>
    </xf>
    <xf numFmtId="0" fontId="14" fillId="4" borderId="42" xfId="66" applyFont="1" applyFill="1" applyBorder="1" applyAlignment="1">
      <alignment horizontal="center" vertical="center" wrapText="1"/>
      <protection/>
    </xf>
    <xf numFmtId="0" fontId="14" fillId="4" borderId="32" xfId="66" applyFont="1" applyFill="1" applyBorder="1" applyAlignment="1">
      <alignment horizontal="center" vertical="center" wrapText="1"/>
      <protection/>
    </xf>
    <xf numFmtId="3" fontId="15" fillId="0" borderId="15" xfId="0" applyNumberFormat="1" applyFont="1" applyFill="1" applyBorder="1" applyAlignment="1">
      <alignment horizontal="right" vertical="center"/>
    </xf>
    <xf numFmtId="0" fontId="15" fillId="28" borderId="67" xfId="60" applyFont="1" applyFill="1" applyBorder="1" applyAlignment="1">
      <alignment vertical="center"/>
      <protection/>
    </xf>
    <xf numFmtId="3" fontId="6" fillId="0" borderId="0" xfId="60" applyNumberFormat="1" applyFont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14" fillId="28" borderId="68" xfId="60" applyFont="1" applyFill="1" applyBorder="1" applyAlignment="1">
      <alignment horizontal="center" vertical="top"/>
      <protection/>
    </xf>
    <xf numFmtId="3" fontId="14" fillId="28" borderId="69" xfId="60" applyNumberFormat="1" applyFont="1" applyFill="1" applyBorder="1" applyAlignment="1">
      <alignment horizontal="center" vertical="center" wrapText="1"/>
      <protection/>
    </xf>
    <xf numFmtId="3" fontId="14" fillId="28" borderId="70" xfId="60" applyNumberFormat="1" applyFont="1" applyFill="1" applyBorder="1" applyAlignment="1">
      <alignment horizontal="center" vertical="center" wrapText="1"/>
      <protection/>
    </xf>
    <xf numFmtId="3" fontId="14" fillId="28" borderId="71" xfId="60" applyNumberFormat="1" applyFont="1" applyFill="1" applyBorder="1" applyAlignment="1">
      <alignment horizontal="center" vertical="center" wrapText="1"/>
      <protection/>
    </xf>
    <xf numFmtId="3" fontId="6" fillId="0" borderId="0" xfId="60" applyNumberFormat="1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15" fillId="0" borderId="72" xfId="60" applyFont="1" applyBorder="1" applyAlignment="1">
      <alignment vertical="center"/>
      <protection/>
    </xf>
    <xf numFmtId="3" fontId="8" fillId="0" borderId="72" xfId="60" applyNumberFormat="1" applyFont="1" applyFill="1" applyBorder="1" applyAlignment="1">
      <alignment vertical="center"/>
      <protection/>
    </xf>
    <xf numFmtId="0" fontId="15" fillId="0" borderId="56" xfId="60" applyFont="1" applyBorder="1" applyAlignment="1">
      <alignment vertical="center"/>
      <protection/>
    </xf>
    <xf numFmtId="3" fontId="8" fillId="0" borderId="56" xfId="60" applyNumberFormat="1" applyFont="1" applyFill="1" applyBorder="1" applyAlignment="1">
      <alignment vertical="center"/>
      <protection/>
    </xf>
    <xf numFmtId="2" fontId="8" fillId="0" borderId="56" xfId="60" applyNumberFormat="1" applyFont="1" applyFill="1" applyBorder="1" applyAlignment="1">
      <alignment vertical="center"/>
      <protection/>
    </xf>
    <xf numFmtId="0" fontId="15" fillId="0" borderId="56" xfId="60" applyFont="1" applyBorder="1" applyAlignment="1">
      <alignment vertical="center" wrapText="1"/>
      <protection/>
    </xf>
    <xf numFmtId="179" fontId="8" fillId="0" borderId="56" xfId="60" applyNumberFormat="1" applyFont="1" applyFill="1" applyBorder="1" applyAlignment="1">
      <alignment vertical="center"/>
      <protection/>
    </xf>
    <xf numFmtId="0" fontId="8" fillId="0" borderId="56" xfId="60" applyFont="1" applyBorder="1" applyAlignment="1">
      <alignment vertical="center" wrapText="1"/>
      <protection/>
    </xf>
    <xf numFmtId="3" fontId="8" fillId="0" borderId="56" xfId="60" applyNumberFormat="1" applyFont="1" applyBorder="1" applyAlignment="1">
      <alignment vertical="center"/>
      <protection/>
    </xf>
    <xf numFmtId="1" fontId="8" fillId="0" borderId="56" xfId="60" applyNumberFormat="1" applyFont="1" applyFill="1" applyBorder="1" applyAlignment="1">
      <alignment vertical="center"/>
      <protection/>
    </xf>
    <xf numFmtId="3" fontId="7" fillId="0" borderId="0" xfId="60" applyNumberFormat="1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4" fontId="8" fillId="0" borderId="56" xfId="60" applyNumberFormat="1" applyFont="1" applyFill="1" applyBorder="1" applyAlignment="1">
      <alignment vertical="center"/>
      <protection/>
    </xf>
    <xf numFmtId="0" fontId="8" fillId="0" borderId="56" xfId="60" applyFont="1" applyBorder="1" applyAlignment="1">
      <alignment vertical="center"/>
      <protection/>
    </xf>
    <xf numFmtId="0" fontId="9" fillId="29" borderId="56" xfId="60" applyFont="1" applyFill="1" applyBorder="1" applyAlignment="1">
      <alignment vertical="center" wrapText="1"/>
      <protection/>
    </xf>
    <xf numFmtId="3" fontId="9" fillId="29" borderId="56" xfId="60" applyNumberFormat="1" applyFont="1" applyFill="1" applyBorder="1" applyAlignment="1">
      <alignment vertical="center"/>
      <protection/>
    </xf>
    <xf numFmtId="3" fontId="23" fillId="0" borderId="56" xfId="60" applyNumberFormat="1" applyFont="1" applyFill="1" applyBorder="1" applyAlignment="1">
      <alignment horizontal="center" vertical="center"/>
      <protection/>
    </xf>
    <xf numFmtId="3" fontId="8" fillId="0" borderId="56" xfId="60" applyNumberFormat="1" applyFont="1" applyBorder="1" applyAlignment="1">
      <alignment horizontal="right" vertical="center"/>
      <protection/>
    </xf>
    <xf numFmtId="179" fontId="8" fillId="0" borderId="56" xfId="60" applyNumberFormat="1" applyFont="1" applyBorder="1" applyAlignment="1">
      <alignment vertical="center"/>
      <protection/>
    </xf>
    <xf numFmtId="3" fontId="8" fillId="0" borderId="56" xfId="60" applyNumberFormat="1" applyFont="1" applyFill="1" applyBorder="1" applyAlignment="1">
      <alignment horizontal="right" vertical="center"/>
      <protection/>
    </xf>
    <xf numFmtId="3" fontId="23" fillId="0" borderId="56" xfId="60" applyNumberFormat="1" applyFont="1" applyFill="1" applyBorder="1" applyAlignment="1">
      <alignment vertical="center"/>
      <protection/>
    </xf>
    <xf numFmtId="0" fontId="14" fillId="28" borderId="56" xfId="60" applyFont="1" applyFill="1" applyBorder="1" applyAlignment="1">
      <alignment vertical="center"/>
      <protection/>
    </xf>
    <xf numFmtId="3" fontId="14" fillId="28" borderId="56" xfId="60" applyNumberFormat="1" applyFont="1" applyFill="1" applyBorder="1" applyAlignment="1">
      <alignment vertical="center"/>
      <protection/>
    </xf>
    <xf numFmtId="3" fontId="8" fillId="27" borderId="56" xfId="60" applyNumberFormat="1" applyFont="1" applyFill="1" applyBorder="1" applyAlignment="1">
      <alignment vertical="center"/>
      <protection/>
    </xf>
    <xf numFmtId="4" fontId="8" fillId="27" borderId="56" xfId="60" applyNumberFormat="1" applyFont="1" applyFill="1" applyBorder="1" applyAlignment="1">
      <alignment vertical="center"/>
      <protection/>
    </xf>
    <xf numFmtId="0" fontId="14" fillId="0" borderId="56" xfId="60" applyFont="1" applyBorder="1" applyAlignment="1">
      <alignment vertical="center"/>
      <protection/>
    </xf>
    <xf numFmtId="3" fontId="9" fillId="0" borderId="56" xfId="60" applyNumberFormat="1" applyFont="1" applyFill="1" applyBorder="1" applyAlignment="1">
      <alignment vertical="center"/>
      <protection/>
    </xf>
    <xf numFmtId="0" fontId="14" fillId="28" borderId="56" xfId="60" applyFont="1" applyFill="1" applyBorder="1" applyAlignment="1">
      <alignment vertical="center" wrapText="1"/>
      <protection/>
    </xf>
    <xf numFmtId="3" fontId="14" fillId="28" borderId="56" xfId="60" applyNumberFormat="1" applyFont="1" applyFill="1" applyBorder="1" applyAlignment="1">
      <alignment vertical="center" wrapText="1"/>
      <protection/>
    </xf>
    <xf numFmtId="3" fontId="14" fillId="0" borderId="56" xfId="60" applyNumberFormat="1" applyFont="1" applyBorder="1" applyAlignment="1">
      <alignment vertical="center"/>
      <protection/>
    </xf>
    <xf numFmtId="3" fontId="14" fillId="0" borderId="56" xfId="60" applyNumberFormat="1" applyFont="1" applyFill="1" applyBorder="1" applyAlignment="1">
      <alignment vertical="center"/>
      <protection/>
    </xf>
    <xf numFmtId="3" fontId="9" fillId="28" borderId="56" xfId="60" applyNumberFormat="1" applyFont="1" applyFill="1" applyBorder="1" applyAlignment="1">
      <alignment vertical="center"/>
      <protection/>
    </xf>
    <xf numFmtId="0" fontId="14" fillId="0" borderId="56" xfId="60" applyFont="1" applyFill="1" applyBorder="1" applyAlignment="1">
      <alignment vertical="center"/>
      <protection/>
    </xf>
    <xf numFmtId="0" fontId="14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 wrapText="1"/>
      <protection/>
    </xf>
    <xf numFmtId="0" fontId="6" fillId="0" borderId="0" xfId="60" applyFont="1" applyBorder="1" applyAlignment="1">
      <alignment vertical="center" wrapText="1"/>
      <protection/>
    </xf>
    <xf numFmtId="3" fontId="8" fillId="0" borderId="15" xfId="66" applyNumberFormat="1" applyFont="1" applyFill="1" applyBorder="1" applyAlignment="1">
      <alignment horizontal="right" vertical="top" wrapText="1"/>
      <protection/>
    </xf>
    <xf numFmtId="0" fontId="15" fillId="4" borderId="15" xfId="56" applyFont="1" applyFill="1" applyBorder="1" applyAlignment="1">
      <alignment horizontal="center" vertical="center"/>
      <protection/>
    </xf>
    <xf numFmtId="3" fontId="9" fillId="4" borderId="21" xfId="68" applyNumberFormat="1" applyFont="1" applyFill="1" applyBorder="1" applyAlignment="1">
      <alignment vertical="center"/>
      <protection/>
    </xf>
    <xf numFmtId="0" fontId="0" fillId="4" borderId="25" xfId="0" applyFill="1" applyBorder="1" applyAlignment="1">
      <alignment vertical="center"/>
    </xf>
    <xf numFmtId="3" fontId="8" fillId="0" borderId="21" xfId="68" applyNumberFormat="1" applyFont="1" applyFill="1" applyBorder="1" applyAlignment="1">
      <alignment vertical="center"/>
      <protection/>
    </xf>
    <xf numFmtId="3" fontId="0" fillId="0" borderId="25" xfId="0" applyNumberFormat="1" applyBorder="1" applyAlignment="1">
      <alignment vertical="center"/>
    </xf>
    <xf numFmtId="3" fontId="8" fillId="27" borderId="0" xfId="0" applyNumberFormat="1" applyFont="1" applyFill="1" applyBorder="1" applyAlignment="1">
      <alignment horizontal="left" vertical="center" wrapText="1"/>
    </xf>
    <xf numFmtId="0" fontId="5" fillId="0" borderId="0" xfId="57" applyFont="1" applyAlignment="1">
      <alignment vertical="center"/>
      <protection/>
    </xf>
    <xf numFmtId="0" fontId="15" fillId="0" borderId="45" xfId="58" applyFont="1" applyFill="1" applyBorder="1" applyAlignment="1">
      <alignment horizontal="left" vertical="top"/>
      <protection/>
    </xf>
    <xf numFmtId="3" fontId="15" fillId="0" borderId="15" xfId="66" applyNumberFormat="1" applyFont="1" applyFill="1" applyBorder="1" applyAlignment="1">
      <alignment horizontal="right" vertical="center" wrapText="1"/>
      <protection/>
    </xf>
    <xf numFmtId="3" fontId="8" fillId="0" borderId="15" xfId="66" applyNumberFormat="1" applyFont="1" applyFill="1" applyBorder="1" applyAlignment="1">
      <alignment horizontal="right" vertical="center" wrapText="1"/>
      <protection/>
    </xf>
    <xf numFmtId="0" fontId="8" fillId="25" borderId="24" xfId="56" applyFont="1" applyFill="1" applyBorder="1" applyAlignment="1">
      <alignment horizontal="left" vertical="center" wrapText="1"/>
      <protection/>
    </xf>
    <xf numFmtId="3" fontId="9" fillId="0" borderId="15" xfId="58" applyNumberFormat="1" applyFont="1" applyFill="1" applyBorder="1" applyAlignment="1">
      <alignment horizontal="center" vertical="center" wrapText="1"/>
      <protection/>
    </xf>
    <xf numFmtId="3" fontId="6" fillId="0" borderId="15" xfId="69" applyNumberFormat="1" applyFont="1" applyBorder="1" applyAlignment="1">
      <alignment vertical="center"/>
      <protection/>
    </xf>
    <xf numFmtId="0" fontId="9" fillId="4" borderId="30" xfId="68" applyFont="1" applyFill="1" applyBorder="1" applyAlignment="1">
      <alignment horizontal="center" vertical="center" wrapText="1"/>
      <protection/>
    </xf>
    <xf numFmtId="0" fontId="9" fillId="4" borderId="31" xfId="68" applyFont="1" applyFill="1" applyBorder="1" applyAlignment="1">
      <alignment horizontal="center" vertical="center" wrapText="1"/>
      <protection/>
    </xf>
    <xf numFmtId="3" fontId="9" fillId="4" borderId="31" xfId="68" applyNumberFormat="1" applyFont="1" applyFill="1" applyBorder="1" applyAlignment="1">
      <alignment horizontal="center" vertical="center" wrapText="1"/>
      <protection/>
    </xf>
    <xf numFmtId="3" fontId="9" fillId="4" borderId="47" xfId="68" applyNumberFormat="1" applyFont="1" applyFill="1" applyBorder="1" applyAlignment="1">
      <alignment horizontal="center" vertical="center" wrapText="1"/>
      <protection/>
    </xf>
    <xf numFmtId="0" fontId="5" fillId="0" borderId="0" xfId="68">
      <alignment/>
      <protection/>
    </xf>
    <xf numFmtId="0" fontId="0" fillId="0" borderId="15" xfId="0" applyFill="1" applyBorder="1" applyAlignment="1">
      <alignment horizontal="center" vertical="center" wrapText="1"/>
    </xf>
    <xf numFmtId="0" fontId="8" fillId="0" borderId="15" xfId="68" applyFont="1" applyFill="1" applyBorder="1" applyAlignment="1">
      <alignment horizontal="left" vertical="center" wrapText="1"/>
      <protection/>
    </xf>
    <xf numFmtId="175" fontId="8" fillId="0" borderId="15" xfId="68" applyNumberFormat="1" applyFont="1" applyFill="1" applyBorder="1" applyAlignment="1">
      <alignment horizontal="right" vertical="center" wrapText="1"/>
      <protection/>
    </xf>
    <xf numFmtId="175" fontId="8" fillId="0" borderId="15" xfId="68" applyNumberFormat="1" applyFont="1" applyFill="1" applyBorder="1" applyAlignment="1">
      <alignment horizontal="center" vertical="center" wrapText="1"/>
      <protection/>
    </xf>
    <xf numFmtId="0" fontId="5" fillId="0" borderId="0" xfId="68" applyFont="1" applyFill="1">
      <alignment/>
      <protection/>
    </xf>
    <xf numFmtId="0" fontId="15" fillId="0" borderId="21" xfId="66" applyFont="1" applyFill="1" applyBorder="1" applyAlignment="1">
      <alignment horizontal="center" vertical="center"/>
      <protection/>
    </xf>
    <xf numFmtId="175" fontId="8" fillId="0" borderId="15" xfId="68" applyNumberFormat="1" applyFont="1" applyBorder="1" applyAlignment="1">
      <alignment vertical="center"/>
      <protection/>
    </xf>
    <xf numFmtId="0" fontId="5" fillId="0" borderId="0" xfId="68" applyAlignment="1">
      <alignment vertical="center"/>
      <protection/>
    </xf>
    <xf numFmtId="0" fontId="15" fillId="4" borderId="15" xfId="66" applyFont="1" applyFill="1" applyBorder="1" applyAlignment="1">
      <alignment horizontal="center" vertical="center"/>
      <protection/>
    </xf>
    <xf numFmtId="175" fontId="9" fillId="4" borderId="15" xfId="68" applyNumberFormat="1" applyFont="1" applyFill="1" applyBorder="1" applyAlignment="1">
      <alignment vertical="center"/>
      <protection/>
    </xf>
    <xf numFmtId="175" fontId="8" fillId="0" borderId="15" xfId="68" applyNumberFormat="1" applyFont="1" applyFill="1" applyBorder="1" applyAlignment="1">
      <alignment vertical="center"/>
      <protection/>
    </xf>
    <xf numFmtId="175" fontId="8" fillId="0" borderId="15" xfId="68" applyNumberFormat="1" applyFont="1" applyBorder="1" applyAlignment="1">
      <alignment vertical="center" wrapText="1"/>
      <protection/>
    </xf>
    <xf numFmtId="0" fontId="5" fillId="0" borderId="0" xfId="68" applyFill="1" applyAlignment="1">
      <alignment vertical="center"/>
      <protection/>
    </xf>
    <xf numFmtId="0" fontId="8" fillId="0" borderId="0" xfId="68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vertical="center"/>
      <protection/>
    </xf>
    <xf numFmtId="3" fontId="9" fillId="0" borderId="0" xfId="68" applyNumberFormat="1" applyFont="1" applyFill="1" applyBorder="1" applyAlignment="1">
      <alignment vertical="center"/>
      <protection/>
    </xf>
    <xf numFmtId="175" fontId="9" fillId="0" borderId="0" xfId="68" applyNumberFormat="1" applyFont="1" applyFill="1" applyBorder="1" applyAlignment="1">
      <alignment vertical="center"/>
      <protection/>
    </xf>
    <xf numFmtId="179" fontId="9" fillId="0" borderId="0" xfId="68" applyNumberFormat="1" applyFont="1" applyFill="1" applyBorder="1" applyAlignment="1">
      <alignment vertical="center"/>
      <protection/>
    </xf>
    <xf numFmtId="0" fontId="5" fillId="0" borderId="0" xfId="68" applyFill="1" applyBorder="1" applyAlignment="1">
      <alignment vertical="center"/>
      <protection/>
    </xf>
    <xf numFmtId="175" fontId="8" fillId="0" borderId="0" xfId="68" applyNumberFormat="1" applyFont="1" applyAlignment="1">
      <alignment vertical="center"/>
      <protection/>
    </xf>
    <xf numFmtId="1" fontId="8" fillId="0" borderId="15" xfId="68" applyNumberFormat="1" applyFont="1" applyBorder="1" applyAlignment="1">
      <alignment vertical="center"/>
      <protection/>
    </xf>
    <xf numFmtId="175" fontId="8" fillId="0" borderId="15" xfId="68" applyNumberFormat="1" applyFont="1" applyBorder="1">
      <alignment/>
      <protection/>
    </xf>
    <xf numFmtId="0" fontId="8" fillId="4" borderId="15" xfId="68" applyFont="1" applyFill="1" applyBorder="1" applyAlignment="1">
      <alignment vertical="center"/>
      <protection/>
    </xf>
    <xf numFmtId="0" fontId="8" fillId="4" borderId="30" xfId="68" applyFont="1" applyFill="1" applyBorder="1" applyAlignment="1">
      <alignment vertical="center"/>
      <protection/>
    </xf>
    <xf numFmtId="0" fontId="8" fillId="4" borderId="31" xfId="68" applyFont="1" applyFill="1" applyBorder="1" applyAlignment="1">
      <alignment vertical="center"/>
      <protection/>
    </xf>
    <xf numFmtId="0" fontId="9" fillId="4" borderId="31" xfId="68" applyFont="1" applyFill="1" applyBorder="1" applyAlignment="1">
      <alignment vertical="center"/>
      <protection/>
    </xf>
    <xf numFmtId="175" fontId="9" fillId="4" borderId="31" xfId="68" applyNumberFormat="1" applyFont="1" applyFill="1" applyBorder="1" applyAlignment="1">
      <alignment vertical="center"/>
      <protection/>
    </xf>
    <xf numFmtId="0" fontId="8" fillId="0" borderId="0" xfId="68" applyFont="1" applyAlignment="1">
      <alignment vertical="center"/>
      <protection/>
    </xf>
    <xf numFmtId="3" fontId="8" fillId="0" borderId="0" xfId="68" applyNumberFormat="1" applyFont="1" applyAlignment="1">
      <alignment vertical="center"/>
      <protection/>
    </xf>
    <xf numFmtId="0" fontId="8" fillId="0" borderId="0" xfId="68" applyFont="1">
      <alignment/>
      <protection/>
    </xf>
    <xf numFmtId="3" fontId="8" fillId="0" borderId="0" xfId="68" applyNumberFormat="1" applyFont="1">
      <alignment/>
      <protection/>
    </xf>
    <xf numFmtId="3" fontId="5" fillId="0" borderId="0" xfId="68" applyNumberFormat="1">
      <alignment/>
      <protection/>
    </xf>
    <xf numFmtId="175" fontId="45" fillId="0" borderId="15" xfId="68" applyNumberFormat="1" applyFont="1" applyBorder="1" applyAlignment="1">
      <alignment vertical="center"/>
      <protection/>
    </xf>
    <xf numFmtId="0" fontId="0" fillId="0" borderId="25" xfId="0" applyBorder="1" applyAlignment="1">
      <alignment vertical="center" wrapText="1"/>
    </xf>
    <xf numFmtId="0" fontId="8" fillId="0" borderId="24" xfId="68" applyFont="1" applyFill="1" applyBorder="1" applyAlignment="1">
      <alignment vertical="center" wrapText="1"/>
      <protection/>
    </xf>
    <xf numFmtId="3" fontId="8" fillId="0" borderId="25" xfId="68" applyNumberFormat="1" applyFont="1" applyBorder="1" applyAlignment="1">
      <alignment vertical="center"/>
      <protection/>
    </xf>
    <xf numFmtId="0" fontId="8" fillId="0" borderId="15" xfId="68" applyFont="1" applyFill="1" applyBorder="1" applyAlignment="1">
      <alignment vertical="center" wrapText="1"/>
      <protection/>
    </xf>
    <xf numFmtId="0" fontId="8" fillId="0" borderId="63" xfId="58" applyFont="1" applyFill="1" applyBorder="1" applyAlignment="1">
      <alignment vertical="top" wrapText="1"/>
      <protection/>
    </xf>
    <xf numFmtId="0" fontId="8" fillId="0" borderId="21" xfId="68" applyFont="1" applyBorder="1" applyAlignment="1">
      <alignment vertical="center" wrapText="1"/>
      <protection/>
    </xf>
    <xf numFmtId="0" fontId="8" fillId="0" borderId="15" xfId="58" applyFont="1" applyFill="1" applyBorder="1" applyAlignment="1">
      <alignment vertical="top" wrapText="1"/>
      <protection/>
    </xf>
    <xf numFmtId="0" fontId="8" fillId="0" borderId="15" xfId="57" applyFont="1" applyBorder="1" applyAlignment="1">
      <alignment vertical="center"/>
      <protection/>
    </xf>
    <xf numFmtId="0" fontId="15" fillId="0" borderId="15" xfId="68" applyFont="1" applyBorder="1" applyAlignment="1">
      <alignment vertical="center"/>
      <protection/>
    </xf>
    <xf numFmtId="3" fontId="15" fillId="0" borderId="22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0" fontId="15" fillId="0" borderId="24" xfId="68" applyFont="1" applyBorder="1" applyAlignment="1">
      <alignment vertical="center" wrapText="1"/>
      <protection/>
    </xf>
    <xf numFmtId="0" fontId="15" fillId="0" borderId="25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3" fontId="8" fillId="0" borderId="15" xfId="58" applyNumberFormat="1" applyFont="1" applyBorder="1" applyAlignment="1">
      <alignment horizontal="right" vertical="center"/>
      <protection/>
    </xf>
    <xf numFmtId="3" fontId="8" fillId="24" borderId="45" xfId="58" applyNumberFormat="1" applyFont="1" applyFill="1" applyBorder="1" applyAlignment="1">
      <alignment horizontal="left" vertical="center" wrapText="1"/>
      <protection/>
    </xf>
    <xf numFmtId="0" fontId="15" fillId="0" borderId="24" xfId="68" applyFont="1" applyFill="1" applyBorder="1" applyAlignment="1">
      <alignment vertical="center" wrapText="1"/>
      <protection/>
    </xf>
    <xf numFmtId="3" fontId="8" fillId="24" borderId="25" xfId="58" applyNumberFormat="1" applyFont="1" applyFill="1" applyBorder="1" applyAlignment="1">
      <alignment horizontal="left" vertical="center" wrapText="1"/>
      <protection/>
    </xf>
    <xf numFmtId="3" fontId="8" fillId="0" borderId="0" xfId="57" applyNumberFormat="1" applyFont="1">
      <alignment/>
      <protection/>
    </xf>
    <xf numFmtId="0" fontId="8" fillId="0" borderId="15" xfId="56" applyFont="1" applyFill="1" applyBorder="1" applyAlignment="1">
      <alignment horizontal="left" vertical="center" wrapText="1"/>
      <protection/>
    </xf>
    <xf numFmtId="3" fontId="15" fillId="0" borderId="15" xfId="0" applyNumberFormat="1" applyFont="1" applyBorder="1" applyAlignment="1">
      <alignment horizontal="left" vertical="center"/>
    </xf>
    <xf numFmtId="3" fontId="15" fillId="0" borderId="15" xfId="0" applyNumberFormat="1" applyFont="1" applyBorder="1" applyAlignment="1">
      <alignment horizontal="left" vertical="center" wrapText="1"/>
    </xf>
    <xf numFmtId="3" fontId="8" fillId="0" borderId="15" xfId="58" applyNumberFormat="1" applyFont="1" applyBorder="1">
      <alignment/>
      <protection/>
    </xf>
    <xf numFmtId="3" fontId="8" fillId="0" borderId="15" xfId="58" applyNumberFormat="1" applyFont="1" applyFill="1" applyBorder="1">
      <alignment/>
      <protection/>
    </xf>
    <xf numFmtId="0" fontId="8" fillId="0" borderId="15" xfId="66" applyFont="1" applyFill="1" applyBorder="1" applyAlignment="1">
      <alignment horizontal="center" vertical="top" wrapText="1"/>
      <protection/>
    </xf>
    <xf numFmtId="0" fontId="46" fillId="0" borderId="15" xfId="66" applyFont="1" applyBorder="1" applyAlignment="1">
      <alignment vertical="center"/>
      <protection/>
    </xf>
    <xf numFmtId="3" fontId="46" fillId="0" borderId="15" xfId="66" applyNumberFormat="1" applyFont="1" applyBorder="1" applyAlignment="1">
      <alignment horizontal="right" vertical="center"/>
      <protection/>
    </xf>
    <xf numFmtId="3" fontId="46" fillId="24" borderId="15" xfId="66" applyNumberFormat="1" applyFont="1" applyFill="1" applyBorder="1" applyAlignment="1">
      <alignment vertical="center"/>
      <protection/>
    </xf>
    <xf numFmtId="3" fontId="46" fillId="0" borderId="15" xfId="66" applyNumberFormat="1" applyFont="1" applyBorder="1" applyAlignment="1">
      <alignment vertical="center"/>
      <protection/>
    </xf>
    <xf numFmtId="0" fontId="46" fillId="0" borderId="15" xfId="68" applyFont="1" applyBorder="1" applyAlignment="1">
      <alignment vertical="center"/>
      <protection/>
    </xf>
    <xf numFmtId="0" fontId="43" fillId="0" borderId="0" xfId="61">
      <alignment/>
      <protection/>
    </xf>
    <xf numFmtId="0" fontId="9" fillId="0" borderId="0" xfId="61" applyFont="1">
      <alignment/>
      <protection/>
    </xf>
    <xf numFmtId="0" fontId="49" fillId="0" borderId="0" xfId="61" applyFont="1">
      <alignment/>
      <protection/>
    </xf>
    <xf numFmtId="0" fontId="43" fillId="0" borderId="0" xfId="61" applyAlignment="1">
      <alignment horizontal="center" vertical="center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vertical="center" wrapText="1"/>
      <protection/>
    </xf>
    <xf numFmtId="0" fontId="9" fillId="0" borderId="0" xfId="61" applyFont="1" applyAlignment="1">
      <alignment vertical="center" wrapText="1"/>
      <protection/>
    </xf>
    <xf numFmtId="0" fontId="47" fillId="0" borderId="0" xfId="61" applyFont="1">
      <alignment/>
      <protection/>
    </xf>
    <xf numFmtId="0" fontId="43" fillId="0" borderId="0" xfId="61" applyFont="1" applyAlignment="1">
      <alignment horizontal="center" vertical="center"/>
      <protection/>
    </xf>
    <xf numFmtId="0" fontId="15" fillId="4" borderId="25" xfId="58" applyFont="1" applyFill="1" applyBorder="1" applyAlignment="1">
      <alignment vertical="center"/>
      <protection/>
    </xf>
    <xf numFmtId="0" fontId="15" fillId="0" borderId="25" xfId="58" applyFont="1" applyFill="1" applyBorder="1" applyAlignment="1">
      <alignment vertical="center"/>
      <protection/>
    </xf>
    <xf numFmtId="0" fontId="15" fillId="4" borderId="25" xfId="58" applyFont="1" applyFill="1" applyBorder="1" applyAlignment="1">
      <alignment horizontal="left" vertical="center"/>
      <protection/>
    </xf>
    <xf numFmtId="3" fontId="15" fillId="0" borderId="22" xfId="0" applyNumberFormat="1" applyFont="1" applyBorder="1" applyAlignment="1">
      <alignment vertical="center"/>
    </xf>
    <xf numFmtId="0" fontId="15" fillId="0" borderId="24" xfId="58" applyFont="1" applyFill="1" applyBorder="1" applyAlignment="1">
      <alignment vertical="center"/>
      <protection/>
    </xf>
    <xf numFmtId="0" fontId="8" fillId="27" borderId="64" xfId="58" applyFont="1" applyFill="1" applyBorder="1" applyAlignment="1">
      <alignment horizontal="left" vertical="top" wrapText="1"/>
      <protection/>
    </xf>
    <xf numFmtId="0" fontId="8" fillId="27" borderId="24" xfId="58" applyFont="1" applyFill="1" applyBorder="1" applyAlignment="1">
      <alignment horizontal="left" vertical="top" wrapText="1"/>
      <protection/>
    </xf>
    <xf numFmtId="0" fontId="8" fillId="4" borderId="73" xfId="66" applyFont="1" applyFill="1" applyBorder="1" applyAlignment="1">
      <alignment vertical="center"/>
      <protection/>
    </xf>
    <xf numFmtId="0" fontId="15" fillId="0" borderId="36" xfId="57" applyFont="1" applyBorder="1" applyAlignment="1">
      <alignment vertical="center"/>
      <protection/>
    </xf>
    <xf numFmtId="0" fontId="15" fillId="0" borderId="15" xfId="68" applyFont="1" applyBorder="1" applyAlignment="1">
      <alignment vertical="center" wrapText="1"/>
      <protection/>
    </xf>
    <xf numFmtId="0" fontId="8" fillId="0" borderId="25" xfId="58" applyFont="1" applyBorder="1" applyAlignment="1">
      <alignment horizontal="center" vertical="center"/>
      <protection/>
    </xf>
    <xf numFmtId="0" fontId="9" fillId="4" borderId="32" xfId="66" applyFont="1" applyFill="1" applyBorder="1" applyAlignment="1">
      <alignment horizontal="center" vertical="top" wrapText="1"/>
      <protection/>
    </xf>
    <xf numFmtId="0" fontId="0" fillId="0" borderId="74" xfId="0" applyBorder="1" applyAlignment="1">
      <alignment/>
    </xf>
    <xf numFmtId="0" fontId="9" fillId="4" borderId="43" xfId="66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4" borderId="15" xfId="69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3" fontId="15" fillId="0" borderId="56" xfId="0" applyNumberFormat="1" applyFont="1" applyFill="1" applyBorder="1" applyAlignment="1">
      <alignment horizontal="left" vertical="center" wrapText="1"/>
    </xf>
    <xf numFmtId="0" fontId="15" fillId="0" borderId="56" xfId="0" applyFont="1" applyBorder="1" applyAlignment="1">
      <alignment horizontal="left" vertical="center" wrapText="1"/>
    </xf>
    <xf numFmtId="0" fontId="9" fillId="0" borderId="0" xfId="58" applyFont="1" applyFill="1" applyBorder="1" applyAlignment="1">
      <alignment vertical="center"/>
      <protection/>
    </xf>
    <xf numFmtId="0" fontId="14" fillId="4" borderId="17" xfId="58" applyFont="1" applyFill="1" applyBorder="1" applyAlignment="1">
      <alignment horizontal="center" vertical="center"/>
      <protection/>
    </xf>
    <xf numFmtId="0" fontId="14" fillId="4" borderId="18" xfId="58" applyFont="1" applyFill="1" applyBorder="1" applyAlignment="1">
      <alignment horizontal="center" vertical="center"/>
      <protection/>
    </xf>
    <xf numFmtId="0" fontId="14" fillId="4" borderId="16" xfId="58" applyFont="1" applyFill="1" applyBorder="1" applyAlignment="1">
      <alignment horizontal="center" vertical="center" wrapText="1"/>
      <protection/>
    </xf>
    <xf numFmtId="0" fontId="14" fillId="4" borderId="17" xfId="58" applyFont="1" applyFill="1" applyBorder="1" applyAlignment="1">
      <alignment horizontal="center" vertical="center" wrapText="1"/>
      <protection/>
    </xf>
    <xf numFmtId="0" fontId="14" fillId="4" borderId="18" xfId="58" applyFont="1" applyFill="1" applyBorder="1" applyAlignment="1">
      <alignment horizontal="center" vertical="center" wrapText="1"/>
      <protection/>
    </xf>
    <xf numFmtId="0" fontId="15" fillId="4" borderId="15" xfId="58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15" fillId="4" borderId="26" xfId="58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/>
    </xf>
    <xf numFmtId="0" fontId="14" fillId="4" borderId="16" xfId="69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4" borderId="16" xfId="69" applyFont="1" applyFill="1" applyBorder="1" applyAlignment="1">
      <alignment horizontal="center" vertical="center"/>
      <protection/>
    </xf>
    <xf numFmtId="3" fontId="14" fillId="28" borderId="49" xfId="60" applyNumberFormat="1" applyFont="1" applyFill="1" applyBorder="1" applyAlignment="1">
      <alignment horizontal="center" vertical="center"/>
      <protection/>
    </xf>
    <xf numFmtId="3" fontId="44" fillId="0" borderId="0" xfId="60" applyNumberFormat="1" applyFont="1" applyBorder="1" applyAlignment="1">
      <alignment vertical="center" wrapText="1"/>
      <protection/>
    </xf>
    <xf numFmtId="0" fontId="14" fillId="4" borderId="32" xfId="56" applyFont="1" applyFill="1" applyBorder="1" applyAlignment="1">
      <alignment horizontal="center" vertical="top" wrapText="1"/>
      <protection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4" fillId="4" borderId="36" xfId="56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14" fillId="4" borderId="27" xfId="56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4" borderId="26" xfId="56" applyFont="1" applyFill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45" xfId="0" applyBorder="1" applyAlignment="1">
      <alignment vertical="center"/>
    </xf>
    <xf numFmtId="0" fontId="14" fillId="4" borderId="11" xfId="56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4" borderId="11" xfId="56" applyFont="1" applyFill="1" applyBorder="1" applyAlignment="1">
      <alignment horizontal="center" vertical="center"/>
      <protection/>
    </xf>
    <xf numFmtId="0" fontId="14" fillId="4" borderId="38" xfId="56" applyFont="1" applyFill="1" applyBorder="1" applyAlignment="1">
      <alignment horizontal="center" vertical="center" wrapText="1"/>
      <protection/>
    </xf>
    <xf numFmtId="0" fontId="14" fillId="4" borderId="24" xfId="56" applyFont="1" applyFill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left" wrapText="1"/>
    </xf>
    <xf numFmtId="0" fontId="0" fillId="0" borderId="48" xfId="0" applyFont="1" applyBorder="1" applyAlignment="1">
      <alignment wrapText="1"/>
    </xf>
    <xf numFmtId="3" fontId="8" fillId="0" borderId="56" xfId="0" applyNumberFormat="1" applyFont="1" applyFill="1" applyBorder="1" applyAlignment="1">
      <alignment horizontal="left" vertical="center" wrapText="1"/>
    </xf>
    <xf numFmtId="0" fontId="14" fillId="4" borderId="16" xfId="58" applyFont="1" applyFill="1" applyBorder="1" applyAlignment="1">
      <alignment horizontal="center" vertical="center"/>
      <protection/>
    </xf>
    <xf numFmtId="0" fontId="9" fillId="4" borderId="0" xfId="66" applyFont="1" applyFill="1" applyBorder="1" applyAlignment="1">
      <alignment horizontal="center" vertical="center"/>
      <protection/>
    </xf>
    <xf numFmtId="0" fontId="19" fillId="4" borderId="24" xfId="66" applyFont="1" applyFill="1" applyBorder="1" applyAlignment="1">
      <alignment horizontal="center" shrinkToFit="1"/>
      <protection/>
    </xf>
    <xf numFmtId="0" fontId="25" fillId="0" borderId="25" xfId="0" applyFont="1" applyBorder="1" applyAlignment="1">
      <alignment horizontal="center" shrinkToFit="1"/>
    </xf>
    <xf numFmtId="0" fontId="9" fillId="4" borderId="75" xfId="66" applyFont="1" applyFill="1" applyBorder="1" applyAlignment="1">
      <alignment horizontal="center" wrapText="1"/>
      <protection/>
    </xf>
    <xf numFmtId="0" fontId="9" fillId="4" borderId="28" xfId="66" applyFont="1" applyFill="1" applyBorder="1" applyAlignment="1">
      <alignment horizontal="center" wrapText="1"/>
      <protection/>
    </xf>
    <xf numFmtId="0" fontId="9" fillId="4" borderId="11" xfId="66" applyFont="1" applyFill="1" applyBorder="1" applyAlignment="1">
      <alignment horizontal="center" wrapText="1"/>
      <protection/>
    </xf>
    <xf numFmtId="0" fontId="0" fillId="0" borderId="38" xfId="0" applyBorder="1" applyAlignment="1">
      <alignment horizontal="center" wrapText="1"/>
    </xf>
    <xf numFmtId="0" fontId="9" fillId="4" borderId="16" xfId="66" applyFont="1" applyFill="1" applyBorder="1" applyAlignment="1">
      <alignment horizontal="center" vertical="center" shrinkToFit="1"/>
      <protection/>
    </xf>
    <xf numFmtId="0" fontId="9" fillId="4" borderId="18" xfId="66" applyFont="1" applyFill="1" applyBorder="1" applyAlignment="1">
      <alignment horizontal="center" vertical="center" shrinkToFit="1"/>
      <protection/>
    </xf>
    <xf numFmtId="0" fontId="14" fillId="4" borderId="75" xfId="66" applyFont="1" applyFill="1" applyBorder="1" applyAlignment="1">
      <alignment horizontal="center"/>
      <protection/>
    </xf>
    <xf numFmtId="0" fontId="14" fillId="4" borderId="76" xfId="66" applyFont="1" applyFill="1" applyBorder="1" applyAlignment="1">
      <alignment horizontal="center"/>
      <protection/>
    </xf>
    <xf numFmtId="0" fontId="14" fillId="4" borderId="77" xfId="66" applyFont="1" applyFill="1" applyBorder="1" applyAlignment="1">
      <alignment horizontal="center"/>
      <protection/>
    </xf>
    <xf numFmtId="0" fontId="15" fillId="0" borderId="24" xfId="68" applyFont="1" applyFill="1" applyBorder="1" applyAlignment="1">
      <alignment vertical="center"/>
      <protection/>
    </xf>
    <xf numFmtId="0" fontId="0" fillId="0" borderId="25" xfId="0" applyFill="1" applyBorder="1" applyAlignment="1">
      <alignment vertical="center"/>
    </xf>
    <xf numFmtId="0" fontId="9" fillId="4" borderId="24" xfId="68" applyFont="1" applyFill="1" applyBorder="1" applyAlignment="1">
      <alignment horizontal="center" vertical="center"/>
      <protection/>
    </xf>
    <xf numFmtId="0" fontId="9" fillId="4" borderId="25" xfId="68" applyFont="1" applyFill="1" applyBorder="1" applyAlignment="1">
      <alignment horizontal="center" vertical="center"/>
      <protection/>
    </xf>
    <xf numFmtId="0" fontId="9" fillId="4" borderId="24" xfId="68" applyFont="1" applyFill="1" applyBorder="1" applyAlignment="1">
      <alignment vertical="center"/>
      <protection/>
    </xf>
    <xf numFmtId="0" fontId="9" fillId="4" borderId="25" xfId="68" applyFont="1" applyFill="1" applyBorder="1" applyAlignment="1">
      <alignment vertical="center"/>
      <protection/>
    </xf>
    <xf numFmtId="3" fontId="15" fillId="0" borderId="24" xfId="70" applyNumberFormat="1" applyFont="1" applyFill="1" applyBorder="1" applyAlignment="1">
      <alignment horizontal="left" vertical="center" wrapText="1"/>
      <protection/>
    </xf>
    <xf numFmtId="3" fontId="15" fillId="0" borderId="24" xfId="0" applyNumberFormat="1" applyFont="1" applyFill="1" applyBorder="1" applyAlignment="1">
      <alignment horizontal="left" vertical="center" wrapText="1"/>
    </xf>
    <xf numFmtId="0" fontId="0" fillId="0" borderId="25" xfId="0" applyFont="1" applyBorder="1" applyAlignment="1">
      <alignment vertical="center" wrapText="1"/>
    </xf>
    <xf numFmtId="0" fontId="15" fillId="0" borderId="24" xfId="68" applyFont="1" applyBorder="1" applyAlignment="1">
      <alignment vertical="center"/>
      <protection/>
    </xf>
    <xf numFmtId="0" fontId="15" fillId="0" borderId="25" xfId="0" applyFont="1" applyBorder="1" applyAlignment="1">
      <alignment vertical="center"/>
    </xf>
    <xf numFmtId="3" fontId="15" fillId="0" borderId="24" xfId="0" applyNumberFormat="1" applyFont="1" applyBorder="1" applyAlignment="1">
      <alignment horizontal="left" vertical="center"/>
    </xf>
    <xf numFmtId="3" fontId="15" fillId="0" borderId="24" xfId="0" applyNumberFormat="1" applyFont="1" applyBorder="1" applyAlignment="1">
      <alignment horizontal="left" vertical="center" wrapText="1"/>
    </xf>
    <xf numFmtId="0" fontId="0" fillId="0" borderId="25" xfId="0" applyBorder="1" applyAlignment="1">
      <alignment vertical="center" wrapText="1"/>
    </xf>
    <xf numFmtId="3" fontId="15" fillId="0" borderId="24" xfId="0" applyNumberFormat="1" applyFont="1" applyBorder="1" applyAlignment="1">
      <alignment vertical="center" wrapText="1"/>
    </xf>
    <xf numFmtId="3" fontId="18" fillId="0" borderId="24" xfId="0" applyNumberFormat="1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3" fontId="15" fillId="0" borderId="24" xfId="0" applyNumberFormat="1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3" fontId="15" fillId="0" borderId="24" xfId="0" applyNumberFormat="1" applyFont="1" applyBorder="1" applyAlignment="1">
      <alignment vertical="center"/>
    </xf>
    <xf numFmtId="0" fontId="8" fillId="0" borderId="24" xfId="68" applyFont="1" applyBorder="1" applyAlignment="1">
      <alignment vertical="center"/>
      <protection/>
    </xf>
    <xf numFmtId="0" fontId="0" fillId="0" borderId="25" xfId="0" applyFont="1" applyBorder="1" applyAlignment="1">
      <alignment vertical="center"/>
    </xf>
    <xf numFmtId="0" fontId="15" fillId="0" borderId="24" xfId="68" applyFont="1" applyFill="1" applyBorder="1" applyAlignment="1">
      <alignment vertical="center" wrapText="1"/>
      <protection/>
    </xf>
    <xf numFmtId="0" fontId="0" fillId="0" borderId="25" xfId="0" applyFill="1" applyBorder="1" applyAlignment="1">
      <alignment vertical="center" wrapText="1"/>
    </xf>
    <xf numFmtId="3" fontId="15" fillId="0" borderId="24" xfId="0" applyNumberFormat="1" applyFont="1" applyFill="1" applyBorder="1" applyAlignment="1">
      <alignment vertical="center" wrapText="1"/>
    </xf>
    <xf numFmtId="3" fontId="8" fillId="0" borderId="24" xfId="0" applyNumberFormat="1" applyFont="1" applyFill="1" applyBorder="1" applyAlignment="1">
      <alignment vertical="center" wrapText="1"/>
    </xf>
    <xf numFmtId="0" fontId="8" fillId="0" borderId="24" xfId="68" applyFont="1" applyFill="1" applyBorder="1" applyAlignment="1">
      <alignment vertical="center" wrapText="1"/>
      <protection/>
    </xf>
    <xf numFmtId="0" fontId="0" fillId="0" borderId="25" xfId="0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horizontal="left" vertical="center"/>
    </xf>
    <xf numFmtId="3" fontId="15" fillId="24" borderId="24" xfId="70" applyNumberFormat="1" applyFont="1" applyFill="1" applyBorder="1" applyAlignment="1">
      <alignment horizontal="left" vertical="top"/>
      <protection/>
    </xf>
    <xf numFmtId="3" fontId="15" fillId="24" borderId="25" xfId="70" applyNumberFormat="1" applyFont="1" applyFill="1" applyBorder="1" applyAlignment="1">
      <alignment horizontal="left" vertical="top"/>
      <protection/>
    </xf>
    <xf numFmtId="0" fontId="15" fillId="0" borderId="52" xfId="0" applyFont="1" applyBorder="1" applyAlignment="1">
      <alignment horizontal="left" wrapText="1"/>
    </xf>
    <xf numFmtId="0" fontId="0" fillId="0" borderId="48" xfId="0" applyBorder="1" applyAlignment="1">
      <alignment wrapText="1"/>
    </xf>
    <xf numFmtId="0" fontId="15" fillId="0" borderId="25" xfId="0" applyFont="1" applyFill="1" applyBorder="1" applyAlignment="1">
      <alignment vertical="center"/>
    </xf>
    <xf numFmtId="0" fontId="15" fillId="0" borderId="55" xfId="0" applyFont="1" applyBorder="1" applyAlignment="1">
      <alignment horizontal="left" wrapText="1"/>
    </xf>
    <xf numFmtId="0" fontId="15" fillId="0" borderId="78" xfId="0" applyFont="1" applyBorder="1" applyAlignment="1">
      <alignment wrapText="1"/>
    </xf>
    <xf numFmtId="0" fontId="15" fillId="0" borderId="24" xfId="68" applyFont="1" applyBorder="1" applyAlignment="1">
      <alignment vertical="center" wrapText="1"/>
      <protection/>
    </xf>
    <xf numFmtId="3" fontId="14" fillId="4" borderId="24" xfId="0" applyNumberFormat="1" applyFont="1" applyFill="1" applyBorder="1" applyAlignment="1">
      <alignment vertical="center"/>
    </xf>
    <xf numFmtId="3" fontId="14" fillId="0" borderId="79" xfId="0" applyNumberFormat="1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3" fontId="15" fillId="0" borderId="24" xfId="70" applyNumberFormat="1" applyFont="1" applyFill="1" applyBorder="1" applyAlignment="1">
      <alignment horizontal="left" vertical="center"/>
      <protection/>
    </xf>
    <xf numFmtId="0" fontId="0" fillId="0" borderId="25" xfId="0" applyFont="1" applyBorder="1" applyAlignment="1">
      <alignment horizontal="left" vertical="center"/>
    </xf>
    <xf numFmtId="0" fontId="15" fillId="0" borderId="24" xfId="69" applyFont="1" applyFill="1" applyBorder="1" applyAlignment="1">
      <alignment vertical="center" wrapText="1"/>
      <protection/>
    </xf>
    <xf numFmtId="3" fontId="15" fillId="0" borderId="24" xfId="70" applyNumberFormat="1" applyFont="1" applyFill="1" applyBorder="1" applyAlignment="1">
      <alignment vertical="center" wrapText="1"/>
      <protection/>
    </xf>
    <xf numFmtId="3" fontId="24" fillId="4" borderId="12" xfId="0" applyNumberFormat="1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/>
    </xf>
    <xf numFmtId="3" fontId="19" fillId="4" borderId="11" xfId="70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14" fillId="4" borderId="24" xfId="56" applyFont="1" applyFill="1" applyBorder="1" applyAlignment="1">
      <alignment vertical="center" wrapText="1"/>
      <protection/>
    </xf>
    <xf numFmtId="3" fontId="15" fillId="0" borderId="25" xfId="0" applyNumberFormat="1" applyFont="1" applyBorder="1" applyAlignment="1">
      <alignment vertical="center" wrapText="1"/>
    </xf>
    <xf numFmtId="0" fontId="8" fillId="0" borderId="24" xfId="69" applyFont="1" applyFill="1" applyBorder="1" applyAlignment="1">
      <alignment vertical="center" wrapText="1"/>
      <protection/>
    </xf>
    <xf numFmtId="3" fontId="15" fillId="0" borderId="24" xfId="70" applyNumberFormat="1" applyFont="1" applyFill="1" applyBorder="1" applyAlignment="1">
      <alignment vertical="center"/>
      <protection/>
    </xf>
    <xf numFmtId="0" fontId="15" fillId="0" borderId="25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3" fontId="15" fillId="0" borderId="24" xfId="67" applyNumberFormat="1" applyFont="1" applyFill="1" applyBorder="1" applyAlignment="1">
      <alignment vertical="center" wrapText="1"/>
      <protection/>
    </xf>
    <xf numFmtId="0" fontId="0" fillId="0" borderId="25" xfId="0" applyFont="1" applyFill="1" applyBorder="1" applyAlignment="1">
      <alignment vertical="center" wrapText="1"/>
    </xf>
    <xf numFmtId="0" fontId="9" fillId="4" borderId="24" xfId="66" applyFont="1" applyFill="1" applyBorder="1" applyAlignment="1">
      <alignment horizontal="center" wrapText="1"/>
      <protection/>
    </xf>
    <xf numFmtId="0" fontId="9" fillId="4" borderId="25" xfId="66" applyFont="1" applyFill="1" applyBorder="1" applyAlignment="1">
      <alignment horizontal="center" wrapText="1"/>
      <protection/>
    </xf>
    <xf numFmtId="0" fontId="0" fillId="0" borderId="25" xfId="0" applyBorder="1" applyAlignment="1">
      <alignment horizontal="center" wrapText="1"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   5    (2)" xfId="56"/>
    <cellStyle name="Normál_   5-a    (2)" xfId="57"/>
    <cellStyle name="Normál_   7   x" xfId="58"/>
    <cellStyle name="Normál_   7   x_7" xfId="59"/>
    <cellStyle name="Normál_  3   _2010.évi állami" xfId="60"/>
    <cellStyle name="Normál_18. sz. melléklet" xfId="61"/>
    <cellStyle name="Normál_2012 költségvetés_fejlesztés_Doszpoth Attilának" xfId="62"/>
    <cellStyle name="Normál_2012_költségvetés_MCS_111215" xfId="63"/>
    <cellStyle name="Normál_7" xfId="64"/>
    <cellStyle name="Normál_8" xfId="65"/>
    <cellStyle name="Normál_INTKIA96" xfId="66"/>
    <cellStyle name="Normál_KÖLTSÉGVETÉS_2009" xfId="67"/>
    <cellStyle name="Normál_Munka2 (2)" xfId="68"/>
    <cellStyle name="Normál_Munka3 (2)" xfId="69"/>
    <cellStyle name="Normál_ÖKIADELÖ" xfId="70"/>
    <cellStyle name="Normal_tanusitv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7">
      <selection activeCell="H4" sqref="H4"/>
    </sheetView>
  </sheetViews>
  <sheetFormatPr defaultColWidth="9.00390625" defaultRowHeight="12.75"/>
  <cols>
    <col min="1" max="1" width="39.625" style="433" customWidth="1"/>
    <col min="2" max="3" width="13.625" style="433" customWidth="1"/>
    <col min="4" max="4" width="12.625" style="28" customWidth="1"/>
    <col min="5" max="5" width="2.00390625" style="432" customWidth="1"/>
    <col min="6" max="6" width="40.125" style="433" customWidth="1"/>
    <col min="7" max="7" width="11.00390625" style="433" customWidth="1"/>
    <col min="8" max="8" width="13.00390625" style="433" customWidth="1"/>
    <col min="9" max="9" width="11.375" style="28" customWidth="1"/>
    <col min="10" max="12" width="9.375" style="28" customWidth="1"/>
    <col min="13" max="16384" width="9.375" style="79" customWidth="1"/>
  </cols>
  <sheetData>
    <row r="1" spans="1:12" s="419" customFormat="1" ht="36" customHeight="1" thickBot="1">
      <c r="A1" s="415"/>
      <c r="B1" s="417" t="s">
        <v>599</v>
      </c>
      <c r="C1" s="416" t="s">
        <v>271</v>
      </c>
      <c r="D1" s="417" t="s">
        <v>600</v>
      </c>
      <c r="E1" s="418"/>
      <c r="F1" s="415" t="s">
        <v>181</v>
      </c>
      <c r="G1" s="417" t="s">
        <v>599</v>
      </c>
      <c r="H1" s="416" t="s">
        <v>271</v>
      </c>
      <c r="I1" s="417" t="s">
        <v>600</v>
      </c>
      <c r="J1" s="78"/>
      <c r="K1" s="78"/>
      <c r="L1" s="78"/>
    </row>
    <row r="2" spans="1:12" s="422" customFormat="1" ht="12.75" customHeight="1">
      <c r="A2" s="420" t="s">
        <v>709</v>
      </c>
      <c r="B2" s="66"/>
      <c r="C2" s="528"/>
      <c r="D2" s="66"/>
      <c r="E2" s="421"/>
      <c r="F2" s="420" t="s">
        <v>710</v>
      </c>
      <c r="G2" s="420"/>
      <c r="H2" s="420"/>
      <c r="I2" s="63"/>
      <c r="J2" s="77"/>
      <c r="K2" s="77"/>
      <c r="L2" s="77"/>
    </row>
    <row r="3" spans="1:9" ht="12.75" customHeight="1">
      <c r="A3" s="423" t="s">
        <v>711</v>
      </c>
      <c r="B3" s="61">
        <v>6148259</v>
      </c>
      <c r="C3" s="423">
        <v>201445</v>
      </c>
      <c r="D3" s="61">
        <f>SUM(B3:C3)</f>
        <v>6349704</v>
      </c>
      <c r="E3" s="424"/>
      <c r="F3" s="423" t="s">
        <v>1118</v>
      </c>
      <c r="G3" s="61">
        <v>9622129</v>
      </c>
      <c r="H3" s="423">
        <v>596216</v>
      </c>
      <c r="I3" s="61">
        <f>SUM(G3:H3)</f>
        <v>10218345</v>
      </c>
    </row>
    <row r="4" spans="1:9" ht="24" customHeight="1">
      <c r="A4" s="423" t="s">
        <v>547</v>
      </c>
      <c r="B4" s="61">
        <v>62573</v>
      </c>
      <c r="C4" s="423">
        <v>29352</v>
      </c>
      <c r="D4" s="61">
        <f aca="true" t="shared" si="0" ref="D4:D29">SUM(B4:C4)</f>
        <v>91925</v>
      </c>
      <c r="E4" s="424"/>
      <c r="F4" s="423" t="s">
        <v>1119</v>
      </c>
      <c r="G4" s="61">
        <v>1682877</v>
      </c>
      <c r="H4" s="423">
        <v>323455</v>
      </c>
      <c r="I4" s="61">
        <f aca="true" t="shared" si="1" ref="I4:I29">SUM(G4:H4)</f>
        <v>2006332</v>
      </c>
    </row>
    <row r="5" spans="1:9" ht="15" customHeight="1">
      <c r="A5" s="423" t="s">
        <v>548</v>
      </c>
      <c r="B5" s="61">
        <v>374980</v>
      </c>
      <c r="C5" s="423">
        <v>118170</v>
      </c>
      <c r="D5" s="61">
        <f t="shared" si="0"/>
        <v>493150</v>
      </c>
      <c r="E5" s="424"/>
      <c r="F5" s="423" t="s">
        <v>1120</v>
      </c>
      <c r="G5" s="61">
        <v>11760</v>
      </c>
      <c r="H5" s="423"/>
      <c r="I5" s="61">
        <f t="shared" si="1"/>
        <v>11760</v>
      </c>
    </row>
    <row r="6" spans="1:9" ht="19.5" customHeight="1">
      <c r="A6" s="464" t="s">
        <v>549</v>
      </c>
      <c r="B6" s="465">
        <v>1401750</v>
      </c>
      <c r="C6" s="464"/>
      <c r="D6" s="61">
        <f t="shared" si="0"/>
        <v>1401750</v>
      </c>
      <c r="E6" s="424"/>
      <c r="F6" s="423" t="s">
        <v>1121</v>
      </c>
      <c r="G6" s="47">
        <v>851640</v>
      </c>
      <c r="H6" s="423">
        <v>218109</v>
      </c>
      <c r="I6" s="61">
        <f t="shared" si="1"/>
        <v>1069749</v>
      </c>
    </row>
    <row r="7" spans="1:9" ht="13.5" customHeight="1">
      <c r="A7" s="423" t="s">
        <v>550</v>
      </c>
      <c r="B7" s="61">
        <v>4208146</v>
      </c>
      <c r="C7" s="423">
        <v>293418</v>
      </c>
      <c r="D7" s="61">
        <f t="shared" si="0"/>
        <v>4501564</v>
      </c>
      <c r="E7" s="424"/>
      <c r="F7" s="423" t="s">
        <v>712</v>
      </c>
      <c r="G7" s="61">
        <v>478922</v>
      </c>
      <c r="H7" s="423">
        <v>-107333</v>
      </c>
      <c r="I7" s="61">
        <f t="shared" si="1"/>
        <v>371589</v>
      </c>
    </row>
    <row r="8" spans="1:9" ht="13.5" customHeight="1">
      <c r="A8" s="423" t="s">
        <v>551</v>
      </c>
      <c r="B8" s="426">
        <v>217882</v>
      </c>
      <c r="C8" s="423"/>
      <c r="D8" s="61">
        <f t="shared" si="0"/>
        <v>217882</v>
      </c>
      <c r="E8" s="424"/>
      <c r="F8" s="423" t="s">
        <v>713</v>
      </c>
      <c r="G8" s="61">
        <v>5000</v>
      </c>
      <c r="H8" s="423"/>
      <c r="I8" s="61">
        <f t="shared" si="1"/>
        <v>5000</v>
      </c>
    </row>
    <row r="9" spans="1:9" ht="13.5" customHeight="1">
      <c r="A9" s="425" t="s">
        <v>742</v>
      </c>
      <c r="B9" s="425">
        <f>SUM(B2:B8)</f>
        <v>12413590</v>
      </c>
      <c r="C9" s="425">
        <f>SUM(C2:C8)</f>
        <v>642385</v>
      </c>
      <c r="D9" s="63">
        <f t="shared" si="0"/>
        <v>13055975</v>
      </c>
      <c r="E9" s="424"/>
      <c r="F9" s="425" t="s">
        <v>740</v>
      </c>
      <c r="G9" s="420">
        <f>SUM(G3:G8)</f>
        <v>12652328</v>
      </c>
      <c r="H9" s="420">
        <f>SUM(H3:H8)</f>
        <v>1030447</v>
      </c>
      <c r="I9" s="63">
        <f t="shared" si="1"/>
        <v>13682775</v>
      </c>
    </row>
    <row r="10" spans="1:12" s="422" customFormat="1" ht="13.5" customHeight="1">
      <c r="A10" s="427" t="s">
        <v>758</v>
      </c>
      <c r="B10" s="425"/>
      <c r="C10" s="425"/>
      <c r="D10" s="61">
        <f t="shared" si="0"/>
        <v>0</v>
      </c>
      <c r="E10" s="424"/>
      <c r="F10" s="427" t="s">
        <v>741</v>
      </c>
      <c r="G10" s="61">
        <v>18264</v>
      </c>
      <c r="H10" s="423"/>
      <c r="I10" s="61">
        <f t="shared" si="1"/>
        <v>18264</v>
      </c>
      <c r="J10" s="77"/>
      <c r="K10" s="77"/>
      <c r="L10" s="77"/>
    </row>
    <row r="11" spans="1:12" s="422" customFormat="1" ht="13.5" customHeight="1">
      <c r="A11" s="427" t="s">
        <v>1122</v>
      </c>
      <c r="B11" s="425"/>
      <c r="C11" s="427"/>
      <c r="D11" s="61">
        <f t="shared" si="0"/>
        <v>0</v>
      </c>
      <c r="E11" s="424"/>
      <c r="F11" s="427" t="s">
        <v>1123</v>
      </c>
      <c r="G11" s="61"/>
      <c r="H11" s="423"/>
      <c r="I11" s="61">
        <f t="shared" si="1"/>
        <v>0</v>
      </c>
      <c r="J11" s="77"/>
      <c r="K11" s="77"/>
      <c r="L11" s="77"/>
    </row>
    <row r="12" spans="1:12" s="422" customFormat="1" ht="12" customHeight="1">
      <c r="A12" s="427" t="s">
        <v>1124</v>
      </c>
      <c r="B12" s="639">
        <v>233892</v>
      </c>
      <c r="C12" s="427">
        <v>445220</v>
      </c>
      <c r="D12" s="61">
        <f t="shared" si="0"/>
        <v>679112</v>
      </c>
      <c r="E12" s="424"/>
      <c r="F12" s="428" t="s">
        <v>743</v>
      </c>
      <c r="G12" s="428">
        <f>SUM(G9:G11)-G5</f>
        <v>12658832</v>
      </c>
      <c r="H12" s="428">
        <f>SUM(H9:H11)-H5</f>
        <v>1030447</v>
      </c>
      <c r="I12" s="52">
        <f t="shared" si="1"/>
        <v>13689279</v>
      </c>
      <c r="J12" s="77"/>
      <c r="K12" s="77"/>
      <c r="L12" s="77"/>
    </row>
    <row r="13" spans="1:9" ht="13.5" customHeight="1">
      <c r="A13" s="427" t="s">
        <v>1125</v>
      </c>
      <c r="B13" s="76"/>
      <c r="C13" s="427">
        <v>5314</v>
      </c>
      <c r="D13" s="61">
        <f t="shared" si="0"/>
        <v>5314</v>
      </c>
      <c r="E13" s="424"/>
      <c r="F13" s="420" t="s">
        <v>744</v>
      </c>
      <c r="G13" s="425"/>
      <c r="H13" s="420"/>
      <c r="I13" s="61">
        <f t="shared" si="1"/>
        <v>0</v>
      </c>
    </row>
    <row r="14" spans="1:9" ht="24" customHeight="1">
      <c r="A14" s="427"/>
      <c r="B14" s="76"/>
      <c r="C14" s="427"/>
      <c r="D14" s="427">
        <v>505987</v>
      </c>
      <c r="E14" s="424"/>
      <c r="F14" s="423" t="s">
        <v>745</v>
      </c>
      <c r="G14" s="47">
        <v>91448</v>
      </c>
      <c r="H14" s="423">
        <v>98495</v>
      </c>
      <c r="I14" s="61">
        <f t="shared" si="1"/>
        <v>189943</v>
      </c>
    </row>
    <row r="15" spans="1:9" ht="19.5" customHeight="1">
      <c r="A15" s="429" t="s">
        <v>747</v>
      </c>
      <c r="B15" s="430">
        <f>SUM(B9:B14)</f>
        <v>12647482</v>
      </c>
      <c r="C15" s="430">
        <f>SUM(C9:C14)</f>
        <v>1092919</v>
      </c>
      <c r="D15" s="52">
        <f t="shared" si="0"/>
        <v>13740401</v>
      </c>
      <c r="E15" s="424"/>
      <c r="F15" s="423" t="s">
        <v>746</v>
      </c>
      <c r="G15" s="61">
        <v>32849</v>
      </c>
      <c r="H15" s="423">
        <v>7710</v>
      </c>
      <c r="I15" s="61">
        <f t="shared" si="1"/>
        <v>40559</v>
      </c>
    </row>
    <row r="16" spans="1:9" ht="15" customHeight="1">
      <c r="A16" s="420" t="s">
        <v>749</v>
      </c>
      <c r="B16" s="61"/>
      <c r="C16" s="420"/>
      <c r="D16" s="61">
        <f t="shared" si="0"/>
        <v>0</v>
      </c>
      <c r="E16" s="424"/>
      <c r="F16" s="423" t="s">
        <v>748</v>
      </c>
      <c r="G16" s="76">
        <v>53788</v>
      </c>
      <c r="H16" s="423">
        <v>91565</v>
      </c>
      <c r="I16" s="61">
        <f t="shared" si="1"/>
        <v>145353</v>
      </c>
    </row>
    <row r="17" spans="1:9" ht="13.5" customHeight="1">
      <c r="A17" s="423" t="s">
        <v>711</v>
      </c>
      <c r="B17" s="61">
        <v>700396</v>
      </c>
      <c r="C17" s="423">
        <v>12728</v>
      </c>
      <c r="D17" s="61">
        <f t="shared" si="0"/>
        <v>713124</v>
      </c>
      <c r="E17" s="424"/>
      <c r="F17" s="423" t="s">
        <v>1126</v>
      </c>
      <c r="G17" s="61">
        <v>4811</v>
      </c>
      <c r="H17" s="423">
        <v>-780</v>
      </c>
      <c r="I17" s="61">
        <f t="shared" si="1"/>
        <v>4031</v>
      </c>
    </row>
    <row r="18" spans="1:9" ht="24.75" customHeight="1">
      <c r="A18" s="423" t="s">
        <v>552</v>
      </c>
      <c r="B18" s="61">
        <v>410000</v>
      </c>
      <c r="C18" s="423">
        <v>57433</v>
      </c>
      <c r="D18" s="61">
        <f t="shared" si="0"/>
        <v>467433</v>
      </c>
      <c r="E18" s="421"/>
      <c r="F18" s="423" t="s">
        <v>750</v>
      </c>
      <c r="G18" s="61">
        <v>3475036</v>
      </c>
      <c r="H18" s="423">
        <v>309603</v>
      </c>
      <c r="I18" s="61">
        <f t="shared" si="1"/>
        <v>3784639</v>
      </c>
    </row>
    <row r="19" spans="1:9" ht="12.75" customHeight="1">
      <c r="A19" s="423" t="s">
        <v>553</v>
      </c>
      <c r="B19" s="76">
        <v>1122202</v>
      </c>
      <c r="C19" s="423">
        <v>288006</v>
      </c>
      <c r="D19" s="61">
        <f t="shared" si="0"/>
        <v>1410208</v>
      </c>
      <c r="E19" s="421"/>
      <c r="F19" s="423" t="s">
        <v>1127</v>
      </c>
      <c r="G19" s="61">
        <v>105999</v>
      </c>
      <c r="H19" s="423">
        <v>47371</v>
      </c>
      <c r="I19" s="61">
        <f t="shared" si="1"/>
        <v>153370</v>
      </c>
    </row>
    <row r="20" spans="1:9" ht="15.75" customHeight="1">
      <c r="A20" s="423" t="s">
        <v>714</v>
      </c>
      <c r="B20" s="76"/>
      <c r="C20" s="423">
        <v>216</v>
      </c>
      <c r="D20" s="61">
        <f t="shared" si="0"/>
        <v>216</v>
      </c>
      <c r="E20" s="424"/>
      <c r="F20" s="423" t="s">
        <v>751</v>
      </c>
      <c r="G20" s="61">
        <v>347498</v>
      </c>
      <c r="H20" s="423">
        <v>59539</v>
      </c>
      <c r="I20" s="61">
        <f t="shared" si="1"/>
        <v>407037</v>
      </c>
    </row>
    <row r="21" spans="1:9" ht="12.75" customHeight="1">
      <c r="A21" s="423" t="s">
        <v>554</v>
      </c>
      <c r="B21" s="76">
        <v>20000</v>
      </c>
      <c r="C21" s="423">
        <v>29000</v>
      </c>
      <c r="D21" s="61">
        <f t="shared" si="0"/>
        <v>49000</v>
      </c>
      <c r="E21" s="424"/>
      <c r="F21" s="423" t="s">
        <v>1127</v>
      </c>
      <c r="G21" s="61">
        <v>11089</v>
      </c>
      <c r="H21" s="423">
        <v>37634</v>
      </c>
      <c r="I21" s="61">
        <f t="shared" si="1"/>
        <v>48723</v>
      </c>
    </row>
    <row r="22" spans="1:9" ht="12.75" customHeight="1">
      <c r="A22" s="425" t="s">
        <v>756</v>
      </c>
      <c r="B22" s="420">
        <f>SUM(B16:B21)</f>
        <v>2252598</v>
      </c>
      <c r="C22" s="420">
        <f>SUM(C16:C21)</f>
        <v>387383</v>
      </c>
      <c r="D22" s="63">
        <f t="shared" si="0"/>
        <v>2639981</v>
      </c>
      <c r="E22" s="424"/>
      <c r="F22" s="423" t="s">
        <v>753</v>
      </c>
      <c r="G22" s="61">
        <v>133163</v>
      </c>
      <c r="H22" s="423">
        <v>-5465</v>
      </c>
      <c r="I22" s="61">
        <f t="shared" si="1"/>
        <v>127698</v>
      </c>
    </row>
    <row r="23" spans="1:9" ht="12.75" customHeight="1">
      <c r="A23" s="427" t="s">
        <v>758</v>
      </c>
      <c r="B23" s="420"/>
      <c r="C23" s="420"/>
      <c r="D23" s="61">
        <f t="shared" si="0"/>
        <v>0</v>
      </c>
      <c r="E23" s="424"/>
      <c r="F23" s="423" t="s">
        <v>754</v>
      </c>
      <c r="G23" s="61">
        <v>20000</v>
      </c>
      <c r="H23" s="423">
        <v>85869</v>
      </c>
      <c r="I23" s="61">
        <f t="shared" si="1"/>
        <v>105869</v>
      </c>
    </row>
    <row r="24" spans="1:9" ht="12.75" customHeight="1">
      <c r="A24" s="427" t="s">
        <v>233</v>
      </c>
      <c r="B24" s="423">
        <v>921508</v>
      </c>
      <c r="C24" s="423">
        <v>1030</v>
      </c>
      <c r="D24" s="61">
        <f t="shared" si="0"/>
        <v>922538</v>
      </c>
      <c r="E24" s="424"/>
      <c r="F24" s="423" t="s">
        <v>755</v>
      </c>
      <c r="G24" s="61">
        <v>152207</v>
      </c>
      <c r="H24" s="423"/>
      <c r="I24" s="61">
        <f t="shared" si="1"/>
        <v>152207</v>
      </c>
    </row>
    <row r="25" spans="1:9" ht="12.75" customHeight="1">
      <c r="A25" s="423" t="s">
        <v>234</v>
      </c>
      <c r="B25" s="639">
        <v>1301422</v>
      </c>
      <c r="C25" s="423">
        <v>97156</v>
      </c>
      <c r="D25" s="61">
        <f t="shared" si="0"/>
        <v>1398578</v>
      </c>
      <c r="E25" s="424"/>
      <c r="F25" s="425" t="s">
        <v>757</v>
      </c>
      <c r="G25" s="420">
        <f>SUM(G14+G18+G20+G22+G23+G24)</f>
        <v>4219352</v>
      </c>
      <c r="H25" s="420">
        <f>SUM(H14+H18+H20+H22+H23+H24)</f>
        <v>548041</v>
      </c>
      <c r="I25" s="63">
        <f t="shared" si="1"/>
        <v>4767393</v>
      </c>
    </row>
    <row r="26" spans="1:9" ht="12.75" customHeight="1">
      <c r="A26" s="423"/>
      <c r="B26" s="639"/>
      <c r="C26" s="423"/>
      <c r="D26" s="61"/>
      <c r="E26" s="424"/>
      <c r="F26" s="427" t="s">
        <v>758</v>
      </c>
      <c r="G26" s="420"/>
      <c r="H26" s="420"/>
      <c r="I26" s="61">
        <f t="shared" si="1"/>
        <v>0</v>
      </c>
    </row>
    <row r="27" spans="1:9" ht="12.75" customHeight="1">
      <c r="A27" s="427"/>
      <c r="B27" s="423"/>
      <c r="C27" s="423"/>
      <c r="D27" s="61"/>
      <c r="E27" s="424"/>
      <c r="F27" s="427" t="s">
        <v>555</v>
      </c>
      <c r="G27" s="47">
        <v>244826</v>
      </c>
      <c r="H27" s="427"/>
      <c r="I27" s="61">
        <f t="shared" si="1"/>
        <v>244826</v>
      </c>
    </row>
    <row r="28" spans="1:12" s="419" customFormat="1" ht="22.5" customHeight="1">
      <c r="A28" s="428" t="s">
        <v>865</v>
      </c>
      <c r="B28" s="52">
        <f>SUM(B22:B27)</f>
        <v>4475528</v>
      </c>
      <c r="C28" s="52">
        <f>SUM(C22:C27)</f>
        <v>485569</v>
      </c>
      <c r="D28" s="51">
        <f t="shared" si="0"/>
        <v>4961097</v>
      </c>
      <c r="E28" s="421"/>
      <c r="F28" s="428" t="s">
        <v>866</v>
      </c>
      <c r="G28" s="52">
        <f>SUM(G25:G27)</f>
        <v>4464178</v>
      </c>
      <c r="H28" s="52">
        <f>SUM(H25:H27)</f>
        <v>548041</v>
      </c>
      <c r="I28" s="52">
        <f t="shared" si="1"/>
        <v>5012219</v>
      </c>
      <c r="J28" s="78"/>
      <c r="K28" s="78"/>
      <c r="L28" s="78"/>
    </row>
    <row r="29" spans="1:12" s="419" customFormat="1" ht="19.5" customHeight="1">
      <c r="A29" s="428" t="s">
        <v>1128</v>
      </c>
      <c r="B29" s="52">
        <f>SUM(B15+B28)</f>
        <v>17123010</v>
      </c>
      <c r="C29" s="52">
        <f>SUM(C15+C28)</f>
        <v>1578488</v>
      </c>
      <c r="D29" s="51">
        <f t="shared" si="0"/>
        <v>18701498</v>
      </c>
      <c r="E29" s="424"/>
      <c r="F29" s="428" t="s">
        <v>1128</v>
      </c>
      <c r="G29" s="428">
        <f>SUM(G12+G28)</f>
        <v>17123010</v>
      </c>
      <c r="H29" s="428">
        <f>SUM(H12+H28)</f>
        <v>1578488</v>
      </c>
      <c r="I29" s="52">
        <f t="shared" si="1"/>
        <v>18701498</v>
      </c>
      <c r="J29" s="78"/>
      <c r="K29" s="78"/>
      <c r="L29" s="78"/>
    </row>
    <row r="30" spans="1:4" ht="12">
      <c r="A30" s="431"/>
      <c r="B30" s="431"/>
      <c r="C30" s="431"/>
      <c r="D30" s="80"/>
    </row>
    <row r="31" ht="12">
      <c r="D31" s="80"/>
    </row>
    <row r="32" ht="12">
      <c r="D32" s="80"/>
    </row>
    <row r="33" ht="12">
      <c r="D33" s="80"/>
    </row>
    <row r="34" ht="12">
      <c r="D34" s="80"/>
    </row>
    <row r="35" ht="12">
      <c r="D35" s="80"/>
    </row>
    <row r="36" ht="12">
      <c r="D36" s="80"/>
    </row>
  </sheetData>
  <printOptions horizontalCentered="1" verticalCentered="1"/>
  <pageMargins left="0.15748031496062992" right="0.1968503937007874" top="0.9055118110236221" bottom="0.2755905511811024" header="0.3937007874015748" footer="0.5118110236220472"/>
  <pageSetup horizontalDpi="300" verticalDpi="300" orientation="landscape" paperSize="9" scale="85" r:id="rId1"/>
  <headerFooter alignWithMargins="0">
    <oddHeader>&amp;C&amp;"Times New Roman CE,Félkövér dőlt"ZALAEGERSZEG MEGYEI  JOGÚ  VÁROS  ÖNKORMÁNYZATA
BEVÉTELEINEK  ÉS  KIADÁSAINAK   MÉRLEGE
2012.  ÉVBEN
&amp;R&amp;"Times New Roman CE,Félkövér dőlt"1. sz. melléklet
Adatok: ezer Ft-ban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C4">
      <selection activeCell="H13" sqref="H13:N14"/>
    </sheetView>
  </sheetViews>
  <sheetFormatPr defaultColWidth="9.00390625" defaultRowHeight="12.75"/>
  <cols>
    <col min="1" max="1" width="6.375" style="703" customWidth="1"/>
    <col min="2" max="2" width="6.875" style="703" customWidth="1"/>
    <col min="3" max="3" width="38.625" style="703" customWidth="1"/>
    <col min="4" max="4" width="11.375" style="703" customWidth="1"/>
    <col min="5" max="5" width="11.00390625" style="703" customWidth="1"/>
    <col min="6" max="6" width="9.50390625" style="703" customWidth="1"/>
    <col min="7" max="7" width="11.125" style="703" customWidth="1"/>
    <col min="8" max="8" width="12.50390625" style="703" customWidth="1"/>
    <col min="9" max="9" width="12.375" style="735" customWidth="1"/>
    <col min="10" max="11" width="10.50390625" style="735" customWidth="1"/>
    <col min="12" max="12" width="9.625" style="735" customWidth="1"/>
    <col min="13" max="13" width="11.125" style="735" customWidth="1"/>
    <col min="14" max="14" width="9.125" style="735" customWidth="1"/>
    <col min="15" max="16384" width="9.375" style="703" customWidth="1"/>
  </cols>
  <sheetData>
    <row r="1" spans="1:14" ht="51.75" customHeight="1" thickBot="1">
      <c r="A1" s="699" t="s">
        <v>423</v>
      </c>
      <c r="B1" s="700" t="s">
        <v>759</v>
      </c>
      <c r="C1" s="700" t="s">
        <v>612</v>
      </c>
      <c r="D1" s="700" t="s">
        <v>472</v>
      </c>
      <c r="E1" s="700" t="s">
        <v>761</v>
      </c>
      <c r="F1" s="700" t="s">
        <v>762</v>
      </c>
      <c r="G1" s="700" t="s">
        <v>763</v>
      </c>
      <c r="H1" s="700" t="s">
        <v>764</v>
      </c>
      <c r="I1" s="701" t="s">
        <v>765</v>
      </c>
      <c r="J1" s="701" t="s">
        <v>766</v>
      </c>
      <c r="K1" s="701" t="s">
        <v>767</v>
      </c>
      <c r="L1" s="701" t="s">
        <v>768</v>
      </c>
      <c r="M1" s="700" t="s">
        <v>769</v>
      </c>
      <c r="N1" s="702" t="s">
        <v>770</v>
      </c>
    </row>
    <row r="2" spans="1:14" s="708" customFormat="1" ht="16.5" customHeight="1">
      <c r="A2" s="704">
        <v>2</v>
      </c>
      <c r="B2" s="704">
        <v>1</v>
      </c>
      <c r="C2" s="705" t="s">
        <v>194</v>
      </c>
      <c r="D2" s="706">
        <v>215</v>
      </c>
      <c r="E2" s="706">
        <v>180</v>
      </c>
      <c r="F2" s="707"/>
      <c r="G2" s="707"/>
      <c r="H2" s="707"/>
      <c r="I2" s="707"/>
      <c r="J2" s="707"/>
      <c r="K2" s="706">
        <v>24</v>
      </c>
      <c r="L2" s="706">
        <v>11</v>
      </c>
      <c r="M2" s="706">
        <f>SUM(E2:L2)</f>
        <v>215</v>
      </c>
      <c r="N2" s="706"/>
    </row>
    <row r="3" spans="1:14" s="711" customFormat="1" ht="25.5" customHeight="1">
      <c r="A3" s="709">
        <v>2</v>
      </c>
      <c r="B3" s="704">
        <v>2</v>
      </c>
      <c r="C3" s="470" t="s">
        <v>669</v>
      </c>
      <c r="D3" s="710">
        <v>98.3</v>
      </c>
      <c r="E3" s="710"/>
      <c r="F3" s="710"/>
      <c r="G3" s="710"/>
      <c r="H3" s="710">
        <v>74.8</v>
      </c>
      <c r="I3" s="710"/>
      <c r="J3" s="710">
        <v>2</v>
      </c>
      <c r="K3" s="710">
        <v>5</v>
      </c>
      <c r="L3" s="710">
        <v>16.5</v>
      </c>
      <c r="M3" s="706">
        <f>SUM(E3:L3)</f>
        <v>98.3</v>
      </c>
      <c r="N3" s="710"/>
    </row>
    <row r="4" spans="1:14" s="711" customFormat="1" ht="16.5" customHeight="1">
      <c r="A4" s="635">
        <v>2</v>
      </c>
      <c r="B4" s="704">
        <v>3</v>
      </c>
      <c r="C4" s="150" t="s">
        <v>771</v>
      </c>
      <c r="D4" s="710">
        <v>60</v>
      </c>
      <c r="E4" s="710"/>
      <c r="F4" s="710"/>
      <c r="G4" s="710"/>
      <c r="H4" s="710">
        <v>47</v>
      </c>
      <c r="I4" s="710"/>
      <c r="J4" s="710">
        <v>4</v>
      </c>
      <c r="K4" s="710">
        <v>3</v>
      </c>
      <c r="L4" s="710">
        <v>6</v>
      </c>
      <c r="M4" s="706">
        <f>SUM(E4:L4)</f>
        <v>60</v>
      </c>
      <c r="N4" s="710"/>
    </row>
    <row r="5" spans="1:14" s="711" customFormat="1" ht="16.5" customHeight="1">
      <c r="A5" s="635">
        <v>2</v>
      </c>
      <c r="B5" s="704">
        <v>4</v>
      </c>
      <c r="C5" s="150" t="s">
        <v>772</v>
      </c>
      <c r="D5" s="710">
        <v>118.5</v>
      </c>
      <c r="E5" s="710"/>
      <c r="F5" s="710"/>
      <c r="G5" s="710"/>
      <c r="H5" s="710">
        <v>90.5</v>
      </c>
      <c r="I5" s="710"/>
      <c r="J5" s="710">
        <v>2</v>
      </c>
      <c r="K5" s="710">
        <v>8</v>
      </c>
      <c r="L5" s="710">
        <v>18</v>
      </c>
      <c r="M5" s="706">
        <v>118.5</v>
      </c>
      <c r="N5" s="710"/>
    </row>
    <row r="6" spans="1:14" s="711" customFormat="1" ht="16.5" customHeight="1">
      <c r="A6" s="635">
        <v>2</v>
      </c>
      <c r="B6" s="704">
        <v>5</v>
      </c>
      <c r="C6" s="150" t="s">
        <v>527</v>
      </c>
      <c r="D6" s="710">
        <v>42.5</v>
      </c>
      <c r="E6" s="710"/>
      <c r="F6" s="710"/>
      <c r="G6" s="710">
        <v>4</v>
      </c>
      <c r="H6" s="710">
        <v>18</v>
      </c>
      <c r="I6" s="710">
        <v>5</v>
      </c>
      <c r="J6" s="710">
        <v>2.5</v>
      </c>
      <c r="K6" s="710">
        <v>3</v>
      </c>
      <c r="L6" s="710">
        <v>10</v>
      </c>
      <c r="M6" s="706">
        <f aca="true" t="shared" si="0" ref="M6:M21">SUM(E6:L6)</f>
        <v>42.5</v>
      </c>
      <c r="N6" s="710"/>
    </row>
    <row r="7" spans="1:14" s="711" customFormat="1" ht="16.5" customHeight="1">
      <c r="A7" s="635">
        <v>2</v>
      </c>
      <c r="B7" s="704">
        <v>6</v>
      </c>
      <c r="C7" s="150" t="s">
        <v>773</v>
      </c>
      <c r="D7" s="710">
        <v>101</v>
      </c>
      <c r="E7" s="710"/>
      <c r="F7" s="710"/>
      <c r="G7" s="710"/>
      <c r="H7" s="710">
        <v>72</v>
      </c>
      <c r="I7" s="710">
        <v>2</v>
      </c>
      <c r="J7" s="710">
        <v>3</v>
      </c>
      <c r="K7" s="710">
        <v>6</v>
      </c>
      <c r="L7" s="710">
        <v>18</v>
      </c>
      <c r="M7" s="706">
        <f t="shared" si="0"/>
        <v>101</v>
      </c>
      <c r="N7" s="710"/>
    </row>
    <row r="8" spans="1:14" s="711" customFormat="1" ht="16.5" customHeight="1">
      <c r="A8" s="635">
        <v>2</v>
      </c>
      <c r="B8" s="704">
        <v>7</v>
      </c>
      <c r="C8" s="150" t="s">
        <v>630</v>
      </c>
      <c r="D8" s="710">
        <v>96</v>
      </c>
      <c r="E8" s="710"/>
      <c r="F8" s="710"/>
      <c r="G8" s="710"/>
      <c r="H8" s="710">
        <v>69</v>
      </c>
      <c r="I8" s="710"/>
      <c r="J8" s="710">
        <v>4</v>
      </c>
      <c r="K8" s="710">
        <v>6</v>
      </c>
      <c r="L8" s="710">
        <v>17</v>
      </c>
      <c r="M8" s="706">
        <f t="shared" si="0"/>
        <v>96</v>
      </c>
      <c r="N8" s="710"/>
    </row>
    <row r="9" spans="1:14" s="711" customFormat="1" ht="16.5" customHeight="1">
      <c r="A9" s="635">
        <v>2</v>
      </c>
      <c r="B9" s="704">
        <v>8</v>
      </c>
      <c r="C9" s="150" t="s">
        <v>528</v>
      </c>
      <c r="D9" s="710">
        <v>59</v>
      </c>
      <c r="E9" s="710"/>
      <c r="F9" s="710"/>
      <c r="G9" s="710">
        <v>9</v>
      </c>
      <c r="H9" s="710">
        <v>33</v>
      </c>
      <c r="I9" s="710">
        <v>2</v>
      </c>
      <c r="J9" s="710">
        <v>5</v>
      </c>
      <c r="K9" s="710">
        <v>3</v>
      </c>
      <c r="L9" s="710">
        <v>7</v>
      </c>
      <c r="M9" s="706">
        <f t="shared" si="0"/>
        <v>59</v>
      </c>
      <c r="N9" s="710"/>
    </row>
    <row r="10" spans="1:14" s="711" customFormat="1" ht="16.5" customHeight="1">
      <c r="A10" s="635">
        <v>2</v>
      </c>
      <c r="B10" s="704">
        <v>9</v>
      </c>
      <c r="C10" s="150" t="s">
        <v>774</v>
      </c>
      <c r="D10" s="710">
        <v>40</v>
      </c>
      <c r="E10" s="710"/>
      <c r="F10" s="710"/>
      <c r="G10" s="710"/>
      <c r="H10" s="710">
        <v>34</v>
      </c>
      <c r="I10" s="710"/>
      <c r="J10" s="710"/>
      <c r="K10" s="710">
        <v>3</v>
      </c>
      <c r="L10" s="710">
        <v>3</v>
      </c>
      <c r="M10" s="706">
        <f t="shared" si="0"/>
        <v>40</v>
      </c>
      <c r="N10" s="710"/>
    </row>
    <row r="11" spans="1:14" s="711" customFormat="1" ht="16.5" customHeight="1">
      <c r="A11" s="712"/>
      <c r="B11" s="712"/>
      <c r="C11" s="23" t="s">
        <v>846</v>
      </c>
      <c r="D11" s="713">
        <f>SUM(D3:D10)</f>
        <v>615.3</v>
      </c>
      <c r="E11" s="713"/>
      <c r="F11" s="713"/>
      <c r="G11" s="713">
        <f>SUM(G2:G10)</f>
        <v>13</v>
      </c>
      <c r="H11" s="713">
        <f>SUM(H3:H10)</f>
        <v>438.3</v>
      </c>
      <c r="I11" s="713">
        <f>SUM(I3:I10)</f>
        <v>9</v>
      </c>
      <c r="J11" s="713">
        <f>SUM(J3:J10)</f>
        <v>22.5</v>
      </c>
      <c r="K11" s="713">
        <f>SUM(K3:K10)</f>
        <v>37</v>
      </c>
      <c r="L11" s="713">
        <f>SUM(L3:L10)</f>
        <v>95.5</v>
      </c>
      <c r="M11" s="713">
        <f t="shared" si="0"/>
        <v>615.3</v>
      </c>
      <c r="N11" s="713">
        <f>SUM(N3:N10)</f>
        <v>0</v>
      </c>
    </row>
    <row r="12" spans="1:14" s="711" customFormat="1" ht="16.5" customHeight="1">
      <c r="A12" s="635">
        <v>2</v>
      </c>
      <c r="B12" s="635">
        <v>10</v>
      </c>
      <c r="C12" s="21" t="s">
        <v>530</v>
      </c>
      <c r="D12" s="710">
        <v>71.5</v>
      </c>
      <c r="E12" s="710"/>
      <c r="F12" s="710"/>
      <c r="G12" s="710"/>
      <c r="H12" s="710">
        <v>53</v>
      </c>
      <c r="I12" s="710">
        <v>1</v>
      </c>
      <c r="J12" s="710">
        <v>2</v>
      </c>
      <c r="K12" s="710">
        <v>5</v>
      </c>
      <c r="L12" s="710">
        <v>10.5</v>
      </c>
      <c r="M12" s="714">
        <f t="shared" si="0"/>
        <v>71.5</v>
      </c>
      <c r="N12" s="710"/>
    </row>
    <row r="13" spans="1:14" s="711" customFormat="1" ht="16.5" customHeight="1">
      <c r="A13" s="635">
        <v>2</v>
      </c>
      <c r="B13" s="635">
        <v>11</v>
      </c>
      <c r="C13" s="21" t="s">
        <v>531</v>
      </c>
      <c r="D13" s="710">
        <v>56</v>
      </c>
      <c r="E13" s="710"/>
      <c r="F13" s="710"/>
      <c r="G13" s="710"/>
      <c r="H13" s="710">
        <v>41</v>
      </c>
      <c r="I13" s="710">
        <v>1</v>
      </c>
      <c r="J13" s="710">
        <v>2</v>
      </c>
      <c r="K13" s="710">
        <v>5</v>
      </c>
      <c r="L13" s="710">
        <v>7</v>
      </c>
      <c r="M13" s="714">
        <v>56</v>
      </c>
      <c r="N13" s="710"/>
    </row>
    <row r="14" spans="1:14" s="711" customFormat="1" ht="16.5" customHeight="1">
      <c r="A14" s="635">
        <v>2</v>
      </c>
      <c r="B14" s="635">
        <v>12</v>
      </c>
      <c r="C14" s="21" t="s">
        <v>847</v>
      </c>
      <c r="D14" s="710">
        <v>53</v>
      </c>
      <c r="E14" s="710"/>
      <c r="F14" s="710">
        <v>1</v>
      </c>
      <c r="G14" s="710"/>
      <c r="H14" s="710">
        <v>22.5</v>
      </c>
      <c r="I14" s="710">
        <v>7</v>
      </c>
      <c r="J14" s="710">
        <v>1</v>
      </c>
      <c r="K14" s="710">
        <v>6</v>
      </c>
      <c r="L14" s="710">
        <v>10</v>
      </c>
      <c r="M14" s="714">
        <f t="shared" si="0"/>
        <v>47.5</v>
      </c>
      <c r="N14" s="710">
        <v>-5.5</v>
      </c>
    </row>
    <row r="15" spans="1:14" s="711" customFormat="1" ht="16.5" customHeight="1">
      <c r="A15" s="635">
        <v>2</v>
      </c>
      <c r="B15" s="635">
        <v>13</v>
      </c>
      <c r="C15" s="21" t="s">
        <v>532</v>
      </c>
      <c r="D15" s="710">
        <v>48</v>
      </c>
      <c r="E15" s="710"/>
      <c r="F15" s="710"/>
      <c r="G15" s="710"/>
      <c r="H15" s="710">
        <v>39</v>
      </c>
      <c r="I15" s="710"/>
      <c r="J15" s="710"/>
      <c r="K15" s="710">
        <v>4</v>
      </c>
      <c r="L15" s="710">
        <v>5</v>
      </c>
      <c r="M15" s="714">
        <f t="shared" si="0"/>
        <v>48</v>
      </c>
      <c r="N15" s="710"/>
    </row>
    <row r="16" spans="1:14" s="711" customFormat="1" ht="24.75" customHeight="1">
      <c r="A16" s="635">
        <v>2</v>
      </c>
      <c r="B16" s="635">
        <v>14</v>
      </c>
      <c r="C16" s="157" t="s">
        <v>156</v>
      </c>
      <c r="D16" s="710">
        <v>156.5</v>
      </c>
      <c r="E16" s="715"/>
      <c r="F16" s="710"/>
      <c r="G16" s="710"/>
      <c r="H16" s="710">
        <v>118</v>
      </c>
      <c r="I16" s="710">
        <v>1.5</v>
      </c>
      <c r="J16" s="710">
        <v>1</v>
      </c>
      <c r="K16" s="710">
        <v>11</v>
      </c>
      <c r="L16" s="710">
        <v>25</v>
      </c>
      <c r="M16" s="714">
        <f t="shared" si="0"/>
        <v>156.5</v>
      </c>
      <c r="N16" s="710"/>
    </row>
    <row r="17" spans="1:14" s="711" customFormat="1" ht="24.75" customHeight="1">
      <c r="A17" s="635">
        <v>2</v>
      </c>
      <c r="B17" s="635">
        <v>15</v>
      </c>
      <c r="C17" s="157" t="s">
        <v>668</v>
      </c>
      <c r="D17" s="710">
        <v>121.5</v>
      </c>
      <c r="E17" s="710"/>
      <c r="F17" s="710"/>
      <c r="G17" s="710"/>
      <c r="H17" s="710">
        <v>89.5</v>
      </c>
      <c r="I17" s="710"/>
      <c r="J17" s="710">
        <v>2</v>
      </c>
      <c r="K17" s="710">
        <v>9</v>
      </c>
      <c r="L17" s="710">
        <v>21</v>
      </c>
      <c r="M17" s="714">
        <f t="shared" si="0"/>
        <v>121.5</v>
      </c>
      <c r="N17" s="710"/>
    </row>
    <row r="18" spans="1:14" s="711" customFormat="1" ht="26.25" customHeight="1">
      <c r="A18" s="635">
        <v>2</v>
      </c>
      <c r="B18" s="635">
        <v>16</v>
      </c>
      <c r="C18" s="157" t="s">
        <v>254</v>
      </c>
      <c r="D18" s="710">
        <v>134</v>
      </c>
      <c r="E18" s="715"/>
      <c r="F18" s="710"/>
      <c r="G18" s="710"/>
      <c r="H18" s="710">
        <v>88</v>
      </c>
      <c r="I18" s="710">
        <v>2</v>
      </c>
      <c r="J18" s="710">
        <v>3</v>
      </c>
      <c r="K18" s="710">
        <v>11</v>
      </c>
      <c r="L18" s="710">
        <v>30</v>
      </c>
      <c r="M18" s="714">
        <f t="shared" si="0"/>
        <v>134</v>
      </c>
      <c r="N18" s="710"/>
    </row>
    <row r="19" spans="1:14" s="711" customFormat="1" ht="16.5" customHeight="1">
      <c r="A19" s="635">
        <v>2</v>
      </c>
      <c r="B19" s="635">
        <v>17</v>
      </c>
      <c r="C19" s="150" t="s">
        <v>157</v>
      </c>
      <c r="D19" s="710">
        <v>65</v>
      </c>
      <c r="E19" s="710"/>
      <c r="F19" s="710"/>
      <c r="G19" s="710"/>
      <c r="H19" s="710">
        <v>33</v>
      </c>
      <c r="I19" s="710"/>
      <c r="J19" s="710">
        <v>1</v>
      </c>
      <c r="K19" s="710">
        <v>6</v>
      </c>
      <c r="L19" s="710">
        <v>25</v>
      </c>
      <c r="M19" s="714">
        <f t="shared" si="0"/>
        <v>65</v>
      </c>
      <c r="N19" s="710"/>
    </row>
    <row r="20" spans="1:14" s="716" customFormat="1" ht="16.5" customHeight="1">
      <c r="A20" s="13"/>
      <c r="B20" s="13"/>
      <c r="C20" s="23" t="s">
        <v>848</v>
      </c>
      <c r="D20" s="713">
        <f>SUM(D12:D19)</f>
        <v>705.5</v>
      </c>
      <c r="E20" s="713"/>
      <c r="F20" s="713">
        <v>1</v>
      </c>
      <c r="G20" s="713"/>
      <c r="H20" s="713">
        <f>SUM(H12:H19)</f>
        <v>484</v>
      </c>
      <c r="I20" s="713">
        <f>SUM(I12:I19)</f>
        <v>12.5</v>
      </c>
      <c r="J20" s="713">
        <f>SUM(J12:J19)</f>
        <v>12</v>
      </c>
      <c r="K20" s="713">
        <f>SUM(K12:K19)</f>
        <v>57</v>
      </c>
      <c r="L20" s="713">
        <f>SUM(L12:L19)</f>
        <v>133.5</v>
      </c>
      <c r="M20" s="713">
        <f t="shared" si="0"/>
        <v>700</v>
      </c>
      <c r="N20" s="713">
        <f>SUM(N12:N19)</f>
        <v>-5.5</v>
      </c>
    </row>
    <row r="21" spans="1:14" s="711" customFormat="1" ht="16.5" customHeight="1">
      <c r="A21" s="13"/>
      <c r="B21" s="13"/>
      <c r="C21" s="23" t="s">
        <v>849</v>
      </c>
      <c r="D21" s="713">
        <f>SUM(D11+D20)</f>
        <v>1320.8</v>
      </c>
      <c r="E21" s="713"/>
      <c r="F21" s="713">
        <f aca="true" t="shared" si="1" ref="F21:L21">SUM(F11+F20)</f>
        <v>1</v>
      </c>
      <c r="G21" s="713">
        <f t="shared" si="1"/>
        <v>13</v>
      </c>
      <c r="H21" s="713">
        <f t="shared" si="1"/>
        <v>922.3</v>
      </c>
      <c r="I21" s="713">
        <f t="shared" si="1"/>
        <v>21.5</v>
      </c>
      <c r="J21" s="713">
        <f t="shared" si="1"/>
        <v>34.5</v>
      </c>
      <c r="K21" s="713">
        <f t="shared" si="1"/>
        <v>94</v>
      </c>
      <c r="L21" s="713">
        <f t="shared" si="1"/>
        <v>229</v>
      </c>
      <c r="M21" s="713">
        <f t="shared" si="0"/>
        <v>1315.3</v>
      </c>
      <c r="N21" s="713">
        <f>SUM(N11+N20)</f>
        <v>-5.5</v>
      </c>
    </row>
    <row r="22" spans="1:14" s="722" customFormat="1" ht="15" customHeight="1">
      <c r="A22" s="717"/>
      <c r="B22" s="717"/>
      <c r="C22" s="718"/>
      <c r="D22" s="718"/>
      <c r="E22" s="718"/>
      <c r="F22" s="719"/>
      <c r="G22" s="719"/>
      <c r="H22" s="720"/>
      <c r="I22" s="721"/>
      <c r="J22" s="719"/>
      <c r="K22" s="719"/>
      <c r="L22" s="721"/>
      <c r="M22" s="721"/>
      <c r="N22" s="721"/>
    </row>
    <row r="23" spans="1:14" s="722" customFormat="1" ht="15" customHeight="1">
      <c r="A23" s="717"/>
      <c r="B23" s="717"/>
      <c r="C23" s="718"/>
      <c r="D23" s="718"/>
      <c r="E23" s="718"/>
      <c r="F23" s="719"/>
      <c r="G23" s="719"/>
      <c r="H23" s="720"/>
      <c r="I23" s="721"/>
      <c r="J23" s="719"/>
      <c r="K23" s="719"/>
      <c r="L23" s="721"/>
      <c r="M23" s="721"/>
      <c r="N23" s="721"/>
    </row>
    <row r="24" spans="1:14" s="722" customFormat="1" ht="15" customHeight="1">
      <c r="A24" s="717"/>
      <c r="B24" s="717"/>
      <c r="C24" s="718"/>
      <c r="D24" s="718"/>
      <c r="E24" s="718"/>
      <c r="F24" s="719"/>
      <c r="G24" s="719"/>
      <c r="H24" s="720"/>
      <c r="I24" s="721"/>
      <c r="J24" s="719"/>
      <c r="K24" s="719"/>
      <c r="L24" s="721"/>
      <c r="M24" s="721"/>
      <c r="N24" s="721"/>
    </row>
    <row r="25" spans="1:14" s="722" customFormat="1" ht="15" customHeight="1">
      <c r="A25" s="717"/>
      <c r="B25" s="717"/>
      <c r="C25" s="718"/>
      <c r="D25" s="718"/>
      <c r="E25" s="718"/>
      <c r="F25" s="719"/>
      <c r="G25" s="719"/>
      <c r="H25" s="720"/>
      <c r="I25" s="721"/>
      <c r="J25" s="719"/>
      <c r="K25" s="719"/>
      <c r="L25" s="721"/>
      <c r="M25" s="721"/>
      <c r="N25" s="721"/>
    </row>
    <row r="26" spans="1:14" s="722" customFormat="1" ht="1.5" customHeight="1" thickBot="1">
      <c r="A26" s="717"/>
      <c r="B26" s="717"/>
      <c r="C26" s="718"/>
      <c r="D26" s="718"/>
      <c r="E26" s="718"/>
      <c r="F26" s="719"/>
      <c r="G26" s="719"/>
      <c r="H26" s="720"/>
      <c r="I26" s="721"/>
      <c r="J26" s="719"/>
      <c r="K26" s="719"/>
      <c r="L26" s="721"/>
      <c r="M26" s="721"/>
      <c r="N26" s="721"/>
    </row>
    <row r="27" spans="1:14" ht="54" customHeight="1" thickBot="1">
      <c r="A27" s="699" t="s">
        <v>423</v>
      </c>
      <c r="B27" s="700" t="s">
        <v>759</v>
      </c>
      <c r="C27" s="700" t="s">
        <v>612</v>
      </c>
      <c r="D27" s="700" t="s">
        <v>473</v>
      </c>
      <c r="E27" s="700" t="s">
        <v>761</v>
      </c>
      <c r="F27" s="700" t="s">
        <v>762</v>
      </c>
      <c r="G27" s="700" t="s">
        <v>763</v>
      </c>
      <c r="H27" s="700" t="s">
        <v>764</v>
      </c>
      <c r="I27" s="701" t="s">
        <v>765</v>
      </c>
      <c r="J27" s="701" t="s">
        <v>766</v>
      </c>
      <c r="K27" s="701" t="s">
        <v>767</v>
      </c>
      <c r="L27" s="701" t="s">
        <v>768</v>
      </c>
      <c r="M27" s="700" t="s">
        <v>769</v>
      </c>
      <c r="N27" s="702" t="s">
        <v>770</v>
      </c>
    </row>
    <row r="28" spans="1:14" s="711" customFormat="1" ht="15" customHeight="1">
      <c r="A28" s="709">
        <v>2</v>
      </c>
      <c r="B28" s="709">
        <v>18</v>
      </c>
      <c r="C28" s="21" t="s">
        <v>1220</v>
      </c>
      <c r="D28" s="710">
        <v>219</v>
      </c>
      <c r="E28" s="710"/>
      <c r="F28" s="710">
        <v>4.5</v>
      </c>
      <c r="G28" s="710"/>
      <c r="H28" s="710"/>
      <c r="I28" s="710"/>
      <c r="J28" s="710">
        <v>151.5</v>
      </c>
      <c r="K28" s="710">
        <v>15</v>
      </c>
      <c r="L28" s="710">
        <v>48</v>
      </c>
      <c r="M28" s="710">
        <v>219</v>
      </c>
      <c r="N28" s="710"/>
    </row>
    <row r="29" spans="1:14" s="711" customFormat="1" ht="15" customHeight="1">
      <c r="A29" s="635"/>
      <c r="B29" s="634" t="s">
        <v>1109</v>
      </c>
      <c r="C29" s="21" t="s">
        <v>850</v>
      </c>
      <c r="D29" s="710">
        <v>118.5</v>
      </c>
      <c r="E29" s="710"/>
      <c r="F29" s="710">
        <v>0.5</v>
      </c>
      <c r="G29" s="723"/>
      <c r="H29" s="710"/>
      <c r="I29" s="710"/>
      <c r="J29" s="710">
        <v>74</v>
      </c>
      <c r="K29" s="710">
        <v>4</v>
      </c>
      <c r="L29" s="710">
        <v>40</v>
      </c>
      <c r="M29" s="710">
        <f aca="true" t="shared" si="2" ref="M29:M45">SUM(E29:L29)</f>
        <v>118.5</v>
      </c>
      <c r="N29" s="710"/>
    </row>
    <row r="30" spans="1:14" s="711" customFormat="1" ht="15" customHeight="1">
      <c r="A30" s="635"/>
      <c r="B30" s="634" t="s">
        <v>1110</v>
      </c>
      <c r="C30" s="21" t="s">
        <v>851</v>
      </c>
      <c r="D30" s="710">
        <v>34</v>
      </c>
      <c r="E30" s="710"/>
      <c r="F30" s="710"/>
      <c r="G30" s="710"/>
      <c r="H30" s="710"/>
      <c r="I30" s="710"/>
      <c r="J30" s="710">
        <v>32</v>
      </c>
      <c r="K30" s="710">
        <v>2</v>
      </c>
      <c r="L30" s="710"/>
      <c r="M30" s="710">
        <f t="shared" si="2"/>
        <v>34</v>
      </c>
      <c r="N30" s="710"/>
    </row>
    <row r="31" spans="1:14" s="711" customFormat="1" ht="15" customHeight="1">
      <c r="A31" s="635"/>
      <c r="B31" s="634" t="s">
        <v>1111</v>
      </c>
      <c r="C31" s="21" t="s">
        <v>852</v>
      </c>
      <c r="D31" s="710">
        <v>56.5</v>
      </c>
      <c r="E31" s="710"/>
      <c r="F31" s="710">
        <v>4</v>
      </c>
      <c r="G31" s="710"/>
      <c r="H31" s="710"/>
      <c r="I31" s="710"/>
      <c r="J31" s="710">
        <v>45.5</v>
      </c>
      <c r="K31" s="710"/>
      <c r="L31" s="710">
        <v>7</v>
      </c>
      <c r="M31" s="710">
        <f t="shared" si="2"/>
        <v>56.5</v>
      </c>
      <c r="N31" s="710"/>
    </row>
    <row r="32" spans="1:14" s="711" customFormat="1" ht="15" customHeight="1">
      <c r="A32" s="635"/>
      <c r="B32" s="634" t="s">
        <v>1112</v>
      </c>
      <c r="C32" s="21" t="s">
        <v>676</v>
      </c>
      <c r="D32" s="710">
        <v>10</v>
      </c>
      <c r="E32" s="710"/>
      <c r="F32" s="710"/>
      <c r="G32" s="710"/>
      <c r="H32" s="710"/>
      <c r="I32" s="710"/>
      <c r="J32" s="710"/>
      <c r="K32" s="710">
        <v>9</v>
      </c>
      <c r="L32" s="710">
        <v>1</v>
      </c>
      <c r="M32" s="710">
        <f t="shared" si="2"/>
        <v>10</v>
      </c>
      <c r="N32" s="710"/>
    </row>
    <row r="33" spans="1:14" s="711" customFormat="1" ht="15" customHeight="1">
      <c r="A33" s="635">
        <v>2</v>
      </c>
      <c r="B33" s="635">
        <v>19</v>
      </c>
      <c r="C33" s="21" t="s">
        <v>537</v>
      </c>
      <c r="D33" s="710">
        <v>152</v>
      </c>
      <c r="E33" s="710"/>
      <c r="F33" s="710"/>
      <c r="G33" s="710"/>
      <c r="H33" s="710"/>
      <c r="I33" s="710"/>
      <c r="J33" s="710">
        <v>91.5</v>
      </c>
      <c r="K33" s="710">
        <v>10</v>
      </c>
      <c r="L33" s="710">
        <v>50.5</v>
      </c>
      <c r="M33" s="710">
        <f t="shared" si="2"/>
        <v>152</v>
      </c>
      <c r="N33" s="710"/>
    </row>
    <row r="34" spans="1:14" s="711" customFormat="1" ht="15" customHeight="1">
      <c r="A34" s="635">
        <v>2</v>
      </c>
      <c r="B34" s="635">
        <v>20</v>
      </c>
      <c r="C34" s="21" t="s">
        <v>538</v>
      </c>
      <c r="D34" s="710">
        <v>251.5</v>
      </c>
      <c r="E34" s="710"/>
      <c r="F34" s="710"/>
      <c r="G34" s="724">
        <v>145</v>
      </c>
      <c r="H34" s="710"/>
      <c r="I34" s="710"/>
      <c r="J34" s="710"/>
      <c r="K34" s="710">
        <v>12</v>
      </c>
      <c r="L34" s="710">
        <v>94.5</v>
      </c>
      <c r="M34" s="710">
        <f t="shared" si="2"/>
        <v>251.5</v>
      </c>
      <c r="N34" s="710"/>
    </row>
    <row r="35" spans="1:14" s="711" customFormat="1" ht="15" customHeight="1">
      <c r="A35" s="634"/>
      <c r="B35" s="634" t="s">
        <v>994</v>
      </c>
      <c r="C35" s="150" t="s">
        <v>853</v>
      </c>
      <c r="D35" s="724">
        <v>64</v>
      </c>
      <c r="E35" s="710"/>
      <c r="F35" s="710"/>
      <c r="G35" s="724">
        <v>38</v>
      </c>
      <c r="H35" s="710"/>
      <c r="I35" s="710"/>
      <c r="J35" s="710"/>
      <c r="K35" s="724">
        <v>2</v>
      </c>
      <c r="L35" s="724">
        <v>24</v>
      </c>
      <c r="M35" s="724">
        <f t="shared" si="2"/>
        <v>64</v>
      </c>
      <c r="N35" s="710"/>
    </row>
    <row r="36" spans="1:14" s="711" customFormat="1" ht="15" customHeight="1">
      <c r="A36" s="634"/>
      <c r="B36" s="634" t="s">
        <v>995</v>
      </c>
      <c r="C36" s="150" t="s">
        <v>854</v>
      </c>
      <c r="D36" s="724">
        <v>64</v>
      </c>
      <c r="E36" s="710"/>
      <c r="F36" s="710"/>
      <c r="G36" s="724">
        <v>38</v>
      </c>
      <c r="H36" s="710"/>
      <c r="I36" s="710"/>
      <c r="J36" s="710"/>
      <c r="K36" s="710">
        <v>1.5</v>
      </c>
      <c r="L36" s="710">
        <v>24.5</v>
      </c>
      <c r="M36" s="724">
        <f t="shared" si="2"/>
        <v>64</v>
      </c>
      <c r="N36" s="710"/>
    </row>
    <row r="37" spans="1:14" s="711" customFormat="1" ht="15" customHeight="1">
      <c r="A37" s="634"/>
      <c r="B37" s="634" t="s">
        <v>996</v>
      </c>
      <c r="C37" s="150" t="s">
        <v>855</v>
      </c>
      <c r="D37" s="724">
        <v>52</v>
      </c>
      <c r="E37" s="710"/>
      <c r="F37" s="710"/>
      <c r="G37" s="724">
        <v>31</v>
      </c>
      <c r="H37" s="710"/>
      <c r="I37" s="710"/>
      <c r="J37" s="710"/>
      <c r="K37" s="724">
        <v>1</v>
      </c>
      <c r="L37" s="724">
        <v>20</v>
      </c>
      <c r="M37" s="724">
        <f t="shared" si="2"/>
        <v>52</v>
      </c>
      <c r="N37" s="710"/>
    </row>
    <row r="38" spans="1:14" s="711" customFormat="1" ht="15" customHeight="1">
      <c r="A38" s="634"/>
      <c r="B38" s="634" t="s">
        <v>1113</v>
      </c>
      <c r="C38" s="150" t="s">
        <v>856</v>
      </c>
      <c r="D38" s="710">
        <v>65.5</v>
      </c>
      <c r="E38" s="710"/>
      <c r="F38" s="710"/>
      <c r="G38" s="724">
        <v>38</v>
      </c>
      <c r="H38" s="710"/>
      <c r="I38" s="710"/>
      <c r="J38" s="710"/>
      <c r="K38" s="710">
        <v>1.5</v>
      </c>
      <c r="L38" s="724">
        <v>26</v>
      </c>
      <c r="M38" s="710">
        <f t="shared" si="2"/>
        <v>65.5</v>
      </c>
      <c r="N38" s="710"/>
    </row>
    <row r="39" spans="1:14" s="711" customFormat="1" ht="15" customHeight="1">
      <c r="A39" s="634"/>
      <c r="B39" s="634" t="s">
        <v>1114</v>
      </c>
      <c r="C39" s="21" t="s">
        <v>676</v>
      </c>
      <c r="D39" s="724">
        <v>6</v>
      </c>
      <c r="E39" s="710"/>
      <c r="F39" s="710"/>
      <c r="G39" s="710"/>
      <c r="H39" s="710"/>
      <c r="I39" s="710"/>
      <c r="J39" s="710"/>
      <c r="K39" s="710">
        <v>6</v>
      </c>
      <c r="L39" s="710"/>
      <c r="M39" s="710">
        <f t="shared" si="2"/>
        <v>6</v>
      </c>
      <c r="N39" s="710"/>
    </row>
    <row r="40" spans="1:14" s="711" customFormat="1" ht="15" customHeight="1">
      <c r="A40" s="635">
        <v>2</v>
      </c>
      <c r="B40" s="635">
        <v>21</v>
      </c>
      <c r="C40" s="21" t="s">
        <v>857</v>
      </c>
      <c r="D40" s="710">
        <v>69</v>
      </c>
      <c r="E40" s="710"/>
      <c r="F40" s="710"/>
      <c r="G40" s="710"/>
      <c r="H40" s="710">
        <v>7</v>
      </c>
      <c r="I40" s="710">
        <v>22.5</v>
      </c>
      <c r="J40" s="710">
        <v>3</v>
      </c>
      <c r="K40" s="710">
        <v>8.5</v>
      </c>
      <c r="L40" s="710">
        <v>28</v>
      </c>
      <c r="M40" s="710">
        <f t="shared" si="2"/>
        <v>69</v>
      </c>
      <c r="N40" s="710"/>
    </row>
    <row r="41" spans="1:14" s="711" customFormat="1" ht="15" customHeight="1">
      <c r="A41" s="635"/>
      <c r="B41" s="634" t="s">
        <v>1115</v>
      </c>
      <c r="C41" s="150" t="s">
        <v>539</v>
      </c>
      <c r="D41" s="710">
        <v>16</v>
      </c>
      <c r="E41" s="710"/>
      <c r="F41" s="710"/>
      <c r="G41" s="710"/>
      <c r="H41" s="710"/>
      <c r="I41" s="710">
        <v>13</v>
      </c>
      <c r="J41" s="710"/>
      <c r="K41" s="710"/>
      <c r="L41" s="710">
        <v>3</v>
      </c>
      <c r="M41" s="710">
        <f t="shared" si="2"/>
        <v>16</v>
      </c>
      <c r="N41" s="710"/>
    </row>
    <row r="42" spans="1:14" s="711" customFormat="1" ht="15" customHeight="1">
      <c r="A42" s="635"/>
      <c r="B42" s="634" t="s">
        <v>1116</v>
      </c>
      <c r="C42" s="150" t="s">
        <v>858</v>
      </c>
      <c r="D42" s="710">
        <v>50</v>
      </c>
      <c r="E42" s="710"/>
      <c r="F42" s="710"/>
      <c r="G42" s="710"/>
      <c r="H42" s="710">
        <v>7</v>
      </c>
      <c r="I42" s="710">
        <v>9.5</v>
      </c>
      <c r="J42" s="710"/>
      <c r="K42" s="710">
        <v>8.5</v>
      </c>
      <c r="L42" s="710">
        <v>25</v>
      </c>
      <c r="M42" s="710">
        <f t="shared" si="2"/>
        <v>50</v>
      </c>
      <c r="N42" s="710"/>
    </row>
    <row r="43" spans="1:14" s="711" customFormat="1" ht="15" customHeight="1">
      <c r="A43" s="635"/>
      <c r="B43" s="634" t="s">
        <v>1117</v>
      </c>
      <c r="C43" s="150" t="s">
        <v>103</v>
      </c>
      <c r="D43" s="710">
        <v>3</v>
      </c>
      <c r="E43" s="710"/>
      <c r="F43" s="710"/>
      <c r="G43" s="710"/>
      <c r="H43" s="710"/>
      <c r="I43" s="710"/>
      <c r="J43" s="710">
        <v>3</v>
      </c>
      <c r="K43" s="710"/>
      <c r="L43" s="710"/>
      <c r="M43" s="710">
        <f t="shared" si="2"/>
        <v>3</v>
      </c>
      <c r="N43" s="710"/>
    </row>
    <row r="44" spans="1:14" s="711" customFormat="1" ht="15" customHeight="1">
      <c r="A44" s="635">
        <v>2</v>
      </c>
      <c r="B44" s="635">
        <v>22</v>
      </c>
      <c r="C44" s="21" t="s">
        <v>540</v>
      </c>
      <c r="D44" s="710">
        <v>4.5</v>
      </c>
      <c r="E44" s="710"/>
      <c r="F44" s="710"/>
      <c r="G44" s="710"/>
      <c r="H44" s="710"/>
      <c r="I44" s="725"/>
      <c r="J44" s="710">
        <v>3.5</v>
      </c>
      <c r="K44" s="710">
        <v>1</v>
      </c>
      <c r="L44" s="710"/>
      <c r="M44" s="710">
        <f t="shared" si="2"/>
        <v>4.5</v>
      </c>
      <c r="N44" s="710"/>
    </row>
    <row r="45" spans="1:14" s="711" customFormat="1" ht="15" customHeight="1">
      <c r="A45" s="635">
        <v>2</v>
      </c>
      <c r="B45" s="635">
        <v>23</v>
      </c>
      <c r="C45" s="21" t="s">
        <v>859</v>
      </c>
      <c r="D45" s="710">
        <v>20</v>
      </c>
      <c r="E45" s="710"/>
      <c r="F45" s="710"/>
      <c r="G45" s="710"/>
      <c r="H45" s="710"/>
      <c r="I45" s="710"/>
      <c r="J45" s="710"/>
      <c r="K45" s="710">
        <v>4</v>
      </c>
      <c r="L45" s="710">
        <v>16</v>
      </c>
      <c r="M45" s="710">
        <f t="shared" si="2"/>
        <v>20</v>
      </c>
      <c r="N45" s="710"/>
    </row>
    <row r="46" spans="1:14" s="711" customFormat="1" ht="15" customHeight="1">
      <c r="A46" s="635">
        <v>2</v>
      </c>
      <c r="B46" s="635">
        <v>24</v>
      </c>
      <c r="C46" s="21" t="s">
        <v>542</v>
      </c>
      <c r="D46" s="710">
        <v>9</v>
      </c>
      <c r="E46" s="710"/>
      <c r="F46" s="710"/>
      <c r="G46" s="710"/>
      <c r="H46" s="710"/>
      <c r="I46" s="710"/>
      <c r="J46" s="710"/>
      <c r="K46" s="710">
        <v>3</v>
      </c>
      <c r="L46" s="710">
        <v>6</v>
      </c>
      <c r="M46" s="710">
        <v>9</v>
      </c>
      <c r="N46" s="710"/>
    </row>
    <row r="47" spans="1:14" s="711" customFormat="1" ht="15" customHeight="1">
      <c r="A47" s="11"/>
      <c r="B47" s="11"/>
      <c r="C47" s="150" t="s">
        <v>860</v>
      </c>
      <c r="D47" s="710">
        <v>0</v>
      </c>
      <c r="E47" s="710"/>
      <c r="F47" s="710"/>
      <c r="G47" s="710"/>
      <c r="H47" s="710"/>
      <c r="I47" s="710"/>
      <c r="J47" s="710"/>
      <c r="K47" s="710"/>
      <c r="L47" s="710"/>
      <c r="M47" s="710">
        <f>SUM(E47:L47)</f>
        <v>0</v>
      </c>
      <c r="N47" s="710"/>
    </row>
    <row r="48" spans="1:14" s="711" customFormat="1" ht="15" customHeight="1">
      <c r="A48" s="11">
        <v>2</v>
      </c>
      <c r="B48" s="11">
        <v>25</v>
      </c>
      <c r="C48" s="21" t="s">
        <v>861</v>
      </c>
      <c r="D48" s="710">
        <v>144</v>
      </c>
      <c r="E48" s="710"/>
      <c r="F48" s="710"/>
      <c r="G48" s="710"/>
      <c r="H48" s="710"/>
      <c r="I48" s="710"/>
      <c r="J48" s="710">
        <v>49</v>
      </c>
      <c r="K48" s="710">
        <v>17</v>
      </c>
      <c r="L48" s="710">
        <v>78</v>
      </c>
      <c r="M48" s="710">
        <v>144</v>
      </c>
      <c r="N48" s="710"/>
    </row>
    <row r="49" spans="1:14" s="711" customFormat="1" ht="15" customHeight="1">
      <c r="A49" s="11"/>
      <c r="B49" s="11" t="s">
        <v>997</v>
      </c>
      <c r="C49" s="150" t="s">
        <v>862</v>
      </c>
      <c r="D49" s="710">
        <v>127</v>
      </c>
      <c r="E49" s="710"/>
      <c r="F49" s="710"/>
      <c r="G49" s="710"/>
      <c r="H49" s="710"/>
      <c r="I49" s="710"/>
      <c r="J49" s="710">
        <v>39</v>
      </c>
      <c r="K49" s="710">
        <v>16</v>
      </c>
      <c r="L49" s="710">
        <v>72</v>
      </c>
      <c r="M49" s="710">
        <f>SUM(E49:L49)</f>
        <v>127</v>
      </c>
      <c r="N49" s="710"/>
    </row>
    <row r="50" spans="1:14" s="711" customFormat="1" ht="15" customHeight="1">
      <c r="A50" s="11"/>
      <c r="B50" s="11" t="s">
        <v>998</v>
      </c>
      <c r="C50" s="150" t="s">
        <v>863</v>
      </c>
      <c r="D50" s="710">
        <v>17</v>
      </c>
      <c r="E50" s="710"/>
      <c r="F50" s="710"/>
      <c r="G50" s="710"/>
      <c r="H50" s="710"/>
      <c r="I50" s="710"/>
      <c r="J50" s="710">
        <v>10</v>
      </c>
      <c r="K50" s="710">
        <v>1</v>
      </c>
      <c r="L50" s="710">
        <v>6</v>
      </c>
      <c r="M50" s="710">
        <v>17</v>
      </c>
      <c r="N50" s="710"/>
    </row>
    <row r="51" spans="1:14" s="716" customFormat="1" ht="15" customHeight="1" thickBot="1">
      <c r="A51" s="726"/>
      <c r="B51" s="726"/>
      <c r="C51" s="23" t="s">
        <v>613</v>
      </c>
      <c r="D51" s="713">
        <v>869</v>
      </c>
      <c r="E51" s="713">
        <f aca="true" t="shared" si="3" ref="E51:N51">SUM(E28+E33+E34+E40+E44+E45+E46+E47+E48)</f>
        <v>0</v>
      </c>
      <c r="F51" s="713">
        <f t="shared" si="3"/>
        <v>4.5</v>
      </c>
      <c r="G51" s="713">
        <f t="shared" si="3"/>
        <v>145</v>
      </c>
      <c r="H51" s="713">
        <f t="shared" si="3"/>
        <v>7</v>
      </c>
      <c r="I51" s="713">
        <f t="shared" si="3"/>
        <v>22.5</v>
      </c>
      <c r="J51" s="713">
        <f t="shared" si="3"/>
        <v>298.5</v>
      </c>
      <c r="K51" s="713">
        <f t="shared" si="3"/>
        <v>70.5</v>
      </c>
      <c r="L51" s="713">
        <f t="shared" si="3"/>
        <v>321</v>
      </c>
      <c r="M51" s="713">
        <f t="shared" si="3"/>
        <v>869</v>
      </c>
      <c r="N51" s="713">
        <f t="shared" si="3"/>
        <v>0</v>
      </c>
    </row>
    <row r="52" spans="1:14" s="716" customFormat="1" ht="15" customHeight="1" thickBot="1">
      <c r="A52" s="727"/>
      <c r="B52" s="728"/>
      <c r="C52" s="729" t="s">
        <v>864</v>
      </c>
      <c r="D52" s="730">
        <f aca="true" t="shared" si="4" ref="D52:M52">SUM(D21+D51)</f>
        <v>2189.8</v>
      </c>
      <c r="E52" s="730">
        <f t="shared" si="4"/>
        <v>0</v>
      </c>
      <c r="F52" s="730">
        <f t="shared" si="4"/>
        <v>5.5</v>
      </c>
      <c r="G52" s="730">
        <f t="shared" si="4"/>
        <v>158</v>
      </c>
      <c r="H52" s="730">
        <f t="shared" si="4"/>
        <v>929.3</v>
      </c>
      <c r="I52" s="730">
        <f t="shared" si="4"/>
        <v>44</v>
      </c>
      <c r="J52" s="730">
        <f t="shared" si="4"/>
        <v>333</v>
      </c>
      <c r="K52" s="730">
        <f t="shared" si="4"/>
        <v>164.5</v>
      </c>
      <c r="L52" s="730">
        <f t="shared" si="4"/>
        <v>550</v>
      </c>
      <c r="M52" s="730">
        <f t="shared" si="4"/>
        <v>2184.3</v>
      </c>
      <c r="N52" s="730">
        <f>N21+N51</f>
        <v>-5.5</v>
      </c>
    </row>
    <row r="53" spans="1:14" s="716" customFormat="1" ht="15" customHeight="1" thickBot="1">
      <c r="A53" s="727"/>
      <c r="B53" s="728"/>
      <c r="C53" s="729" t="s">
        <v>476</v>
      </c>
      <c r="D53" s="730">
        <f>SUM(D2+D21+D51)</f>
        <v>2404.8</v>
      </c>
      <c r="E53" s="730">
        <f>SUM(E2+E21+E51)</f>
        <v>180</v>
      </c>
      <c r="F53" s="730">
        <f>SUM(F2+F21+F51)</f>
        <v>5.5</v>
      </c>
      <c r="G53" s="730">
        <f>SUM(G2+G21+G51)</f>
        <v>158</v>
      </c>
      <c r="H53" s="730">
        <f>SUM(H2+H21+H51)</f>
        <v>929.3</v>
      </c>
      <c r="I53" s="730">
        <v>44</v>
      </c>
      <c r="J53" s="730">
        <f>SUM(J2+J21+J51)</f>
        <v>333</v>
      </c>
      <c r="K53" s="730">
        <f>SUM(K2+K21+K51)</f>
        <v>188.5</v>
      </c>
      <c r="L53" s="730">
        <f>SUM(L2+L21+L51)</f>
        <v>561</v>
      </c>
      <c r="M53" s="713">
        <f>SUM(E53:L53)</f>
        <v>2399.3</v>
      </c>
      <c r="N53" s="730">
        <f>SUM(N2+N21+N51)</f>
        <v>-5.5</v>
      </c>
    </row>
    <row r="54" spans="1:14" s="711" customFormat="1" ht="15" customHeight="1">
      <c r="A54" s="731"/>
      <c r="B54" s="731"/>
      <c r="C54" s="731"/>
      <c r="D54" s="731"/>
      <c r="E54" s="731"/>
      <c r="F54" s="731"/>
      <c r="G54" s="731"/>
      <c r="H54" s="731"/>
      <c r="I54" s="732"/>
      <c r="J54" s="732"/>
      <c r="K54" s="732"/>
      <c r="L54" s="732"/>
      <c r="M54" s="732"/>
      <c r="N54" s="732"/>
    </row>
    <row r="55" spans="1:14" s="711" customFormat="1" ht="15" customHeight="1">
      <c r="A55" s="731"/>
      <c r="B55" s="731"/>
      <c r="C55" s="731"/>
      <c r="D55" s="731"/>
      <c r="E55" s="731"/>
      <c r="F55" s="731"/>
      <c r="G55" s="731"/>
      <c r="H55" s="731"/>
      <c r="I55" s="732"/>
      <c r="J55" s="732"/>
      <c r="K55" s="732"/>
      <c r="L55" s="732"/>
      <c r="M55" s="732"/>
      <c r="N55" s="732"/>
    </row>
    <row r="56" spans="1:14" s="711" customFormat="1" ht="15" customHeight="1">
      <c r="A56" s="731"/>
      <c r="B56" s="731"/>
      <c r="C56" s="731"/>
      <c r="D56" s="731"/>
      <c r="E56" s="731"/>
      <c r="F56" s="731"/>
      <c r="G56" s="731"/>
      <c r="H56" s="731"/>
      <c r="I56" s="732"/>
      <c r="J56" s="732"/>
      <c r="K56" s="732"/>
      <c r="L56" s="732"/>
      <c r="M56" s="732"/>
      <c r="N56" s="732"/>
    </row>
    <row r="57" spans="1:14" s="711" customFormat="1" ht="15" customHeight="1">
      <c r="A57" s="731"/>
      <c r="B57" s="731"/>
      <c r="C57" s="731"/>
      <c r="D57" s="731"/>
      <c r="E57" s="731"/>
      <c r="F57" s="731"/>
      <c r="G57" s="731"/>
      <c r="H57" s="731"/>
      <c r="I57" s="732"/>
      <c r="J57" s="732"/>
      <c r="K57" s="732"/>
      <c r="L57" s="732"/>
      <c r="M57" s="732"/>
      <c r="N57" s="732"/>
    </row>
    <row r="58" spans="1:14" s="711" customFormat="1" ht="15" customHeight="1">
      <c r="A58" s="731"/>
      <c r="B58" s="731"/>
      <c r="C58" s="731"/>
      <c r="D58" s="731"/>
      <c r="E58" s="731"/>
      <c r="F58" s="731"/>
      <c r="G58" s="731"/>
      <c r="H58" s="731"/>
      <c r="I58" s="732"/>
      <c r="J58" s="732"/>
      <c r="K58" s="732"/>
      <c r="L58" s="732"/>
      <c r="M58" s="732"/>
      <c r="N58" s="732"/>
    </row>
    <row r="59" spans="1:14" s="711" customFormat="1" ht="15" customHeight="1">
      <c r="A59" s="731"/>
      <c r="B59" s="731"/>
      <c r="C59" s="731"/>
      <c r="D59" s="731"/>
      <c r="E59" s="731"/>
      <c r="F59" s="731"/>
      <c r="G59" s="731"/>
      <c r="H59" s="731"/>
      <c r="I59" s="732"/>
      <c r="J59" s="732"/>
      <c r="K59" s="732"/>
      <c r="L59" s="732"/>
      <c r="M59" s="732"/>
      <c r="N59" s="732"/>
    </row>
    <row r="60" spans="1:14" s="711" customFormat="1" ht="15" customHeight="1">
      <c r="A60" s="731"/>
      <c r="B60" s="731"/>
      <c r="C60" s="731"/>
      <c r="D60" s="731"/>
      <c r="E60" s="731"/>
      <c r="F60" s="731"/>
      <c r="G60" s="731"/>
      <c r="H60" s="731"/>
      <c r="I60" s="732"/>
      <c r="J60" s="732"/>
      <c r="K60" s="732"/>
      <c r="L60" s="732"/>
      <c r="M60" s="732"/>
      <c r="N60" s="732"/>
    </row>
    <row r="61" spans="1:14" s="711" customFormat="1" ht="15" customHeight="1">
      <c r="A61" s="731"/>
      <c r="B61" s="731"/>
      <c r="C61" s="731"/>
      <c r="D61" s="731"/>
      <c r="E61" s="731"/>
      <c r="F61" s="731"/>
      <c r="G61" s="731"/>
      <c r="H61" s="731"/>
      <c r="I61" s="732"/>
      <c r="J61" s="732"/>
      <c r="K61" s="732"/>
      <c r="L61" s="732"/>
      <c r="M61" s="732"/>
      <c r="N61" s="732"/>
    </row>
    <row r="62" spans="1:14" s="711" customFormat="1" ht="15" customHeight="1">
      <c r="A62" s="731"/>
      <c r="B62" s="731"/>
      <c r="C62" s="731"/>
      <c r="D62" s="731"/>
      <c r="E62" s="731"/>
      <c r="F62" s="731"/>
      <c r="G62" s="731"/>
      <c r="H62" s="731"/>
      <c r="I62" s="732"/>
      <c r="J62" s="732"/>
      <c r="K62" s="732"/>
      <c r="L62" s="732"/>
      <c r="M62" s="732"/>
      <c r="N62" s="732"/>
    </row>
    <row r="63" spans="1:14" s="711" customFormat="1" ht="15" customHeight="1">
      <c r="A63" s="731"/>
      <c r="B63" s="731"/>
      <c r="C63" s="731"/>
      <c r="D63" s="731"/>
      <c r="E63" s="731"/>
      <c r="F63" s="731"/>
      <c r="G63" s="731"/>
      <c r="H63" s="731"/>
      <c r="I63" s="732"/>
      <c r="J63" s="732"/>
      <c r="K63" s="732"/>
      <c r="L63" s="732"/>
      <c r="M63" s="732"/>
      <c r="N63" s="732"/>
    </row>
    <row r="64" spans="1:14" s="711" customFormat="1" ht="15" customHeight="1">
      <c r="A64" s="731"/>
      <c r="B64" s="731"/>
      <c r="C64" s="731"/>
      <c r="D64" s="731"/>
      <c r="E64" s="731"/>
      <c r="F64" s="731"/>
      <c r="G64" s="731"/>
      <c r="H64" s="731"/>
      <c r="I64" s="732"/>
      <c r="J64" s="732"/>
      <c r="K64" s="732"/>
      <c r="L64" s="732"/>
      <c r="M64" s="732"/>
      <c r="N64" s="732"/>
    </row>
    <row r="65" spans="1:14" s="711" customFormat="1" ht="15" customHeight="1">
      <c r="A65" s="731"/>
      <c r="B65" s="731"/>
      <c r="C65" s="731"/>
      <c r="D65" s="731"/>
      <c r="E65" s="731"/>
      <c r="F65" s="731"/>
      <c r="G65" s="731"/>
      <c r="H65" s="731"/>
      <c r="I65" s="732"/>
      <c r="J65" s="732"/>
      <c r="K65" s="732"/>
      <c r="L65" s="732"/>
      <c r="M65" s="732"/>
      <c r="N65" s="732"/>
    </row>
    <row r="66" spans="1:14" ht="15" customHeight="1">
      <c r="A66" s="733"/>
      <c r="B66" s="733"/>
      <c r="C66" s="733"/>
      <c r="D66" s="733"/>
      <c r="E66" s="733"/>
      <c r="F66" s="733"/>
      <c r="G66" s="733"/>
      <c r="H66" s="733"/>
      <c r="I66" s="734"/>
      <c r="J66" s="734"/>
      <c r="K66" s="734"/>
      <c r="L66" s="734"/>
      <c r="M66" s="734"/>
      <c r="N66" s="734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printOptions horizontalCentered="1" verticalCentered="1"/>
  <pageMargins left="0.3937007874015748" right="0.3937007874015748" top="1.1811023622047245" bottom="0.7874015748031497" header="0.5118110236220472" footer="0.5118110236220472"/>
  <pageSetup horizontalDpi="600" verticalDpi="600" orientation="landscape" paperSize="9" scale="90" r:id="rId1"/>
  <headerFooter alignWithMargins="0">
    <oddHeader>&amp;C&amp;"Times New Roman,Félkövér"Z.M.J.V. Önkormányzata által irányított
költségvetési szerveinek  költségvetési létszámkerete
 2012. évben &amp;R&amp;"Times New Roman,Félkövér dőlt"10. sz. melléklet
Adatok:  főben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C1">
      <selection activeCell="N14" sqref="N14"/>
    </sheetView>
  </sheetViews>
  <sheetFormatPr defaultColWidth="9.00390625" defaultRowHeight="12.75"/>
  <cols>
    <col min="1" max="1" width="6.375" style="703" customWidth="1"/>
    <col min="2" max="2" width="6.875" style="703" customWidth="1"/>
    <col min="3" max="3" width="38.625" style="703" customWidth="1"/>
    <col min="4" max="4" width="11.375" style="703" customWidth="1"/>
    <col min="5" max="5" width="11.00390625" style="703" customWidth="1"/>
    <col min="6" max="6" width="9.50390625" style="703" customWidth="1"/>
    <col min="7" max="7" width="11.125" style="703" customWidth="1"/>
    <col min="8" max="8" width="12.50390625" style="703" customWidth="1"/>
    <col min="9" max="9" width="12.375" style="735" customWidth="1"/>
    <col min="10" max="11" width="10.50390625" style="735" customWidth="1"/>
    <col min="12" max="12" width="9.625" style="735" customWidth="1"/>
    <col min="13" max="13" width="11.125" style="735" customWidth="1"/>
    <col min="14" max="14" width="9.125" style="735" customWidth="1"/>
    <col min="15" max="16384" width="9.375" style="703" customWidth="1"/>
  </cols>
  <sheetData>
    <row r="1" spans="1:14" ht="51.75" customHeight="1" thickBot="1">
      <c r="A1" s="699" t="s">
        <v>423</v>
      </c>
      <c r="B1" s="700" t="s">
        <v>759</v>
      </c>
      <c r="C1" s="700" t="s">
        <v>612</v>
      </c>
      <c r="D1" s="700" t="s">
        <v>473</v>
      </c>
      <c r="E1" s="700" t="s">
        <v>761</v>
      </c>
      <c r="F1" s="700" t="s">
        <v>762</v>
      </c>
      <c r="G1" s="700" t="s">
        <v>763</v>
      </c>
      <c r="H1" s="700" t="s">
        <v>764</v>
      </c>
      <c r="I1" s="701" t="s">
        <v>765</v>
      </c>
      <c r="J1" s="701" t="s">
        <v>766</v>
      </c>
      <c r="K1" s="701" t="s">
        <v>767</v>
      </c>
      <c r="L1" s="701" t="s">
        <v>768</v>
      </c>
      <c r="M1" s="700" t="s">
        <v>769</v>
      </c>
      <c r="N1" s="702" t="s">
        <v>770</v>
      </c>
    </row>
    <row r="2" spans="1:14" s="708" customFormat="1" ht="16.5" customHeight="1">
      <c r="A2" s="704">
        <v>2</v>
      </c>
      <c r="B2" s="704">
        <v>1</v>
      </c>
      <c r="C2" s="705" t="s">
        <v>194</v>
      </c>
      <c r="D2" s="706">
        <v>215</v>
      </c>
      <c r="E2" s="706">
        <v>180</v>
      </c>
      <c r="F2" s="707"/>
      <c r="G2" s="707"/>
      <c r="H2" s="707"/>
      <c r="I2" s="707"/>
      <c r="J2" s="707"/>
      <c r="K2" s="706">
        <v>24</v>
      </c>
      <c r="L2" s="706">
        <v>11</v>
      </c>
      <c r="M2" s="706">
        <f>SUM(E2:L2)</f>
        <v>215</v>
      </c>
      <c r="N2" s="706"/>
    </row>
    <row r="3" spans="1:14" s="711" customFormat="1" ht="25.5" customHeight="1">
      <c r="A3" s="709">
        <v>2</v>
      </c>
      <c r="B3" s="704">
        <v>2</v>
      </c>
      <c r="C3" s="470" t="s">
        <v>669</v>
      </c>
      <c r="D3" s="710">
        <v>98.3</v>
      </c>
      <c r="E3" s="710"/>
      <c r="F3" s="710"/>
      <c r="G3" s="710"/>
      <c r="H3" s="710">
        <v>74.8</v>
      </c>
      <c r="I3" s="710"/>
      <c r="J3" s="710">
        <v>2</v>
      </c>
      <c r="K3" s="710">
        <v>5</v>
      </c>
      <c r="L3" s="710">
        <v>16.5</v>
      </c>
      <c r="M3" s="706">
        <f>SUM(E3:L3)</f>
        <v>98.3</v>
      </c>
      <c r="N3" s="710"/>
    </row>
    <row r="4" spans="1:14" s="711" customFormat="1" ht="16.5" customHeight="1">
      <c r="A4" s="635">
        <v>2</v>
      </c>
      <c r="B4" s="704">
        <v>3</v>
      </c>
      <c r="C4" s="150" t="s">
        <v>771</v>
      </c>
      <c r="D4" s="710">
        <v>60</v>
      </c>
      <c r="E4" s="710"/>
      <c r="F4" s="710"/>
      <c r="G4" s="710"/>
      <c r="H4" s="710">
        <v>47</v>
      </c>
      <c r="I4" s="710"/>
      <c r="J4" s="710">
        <v>4</v>
      </c>
      <c r="K4" s="710">
        <v>3</v>
      </c>
      <c r="L4" s="710">
        <v>6</v>
      </c>
      <c r="M4" s="706">
        <f>SUM(E4:L4)</f>
        <v>60</v>
      </c>
      <c r="N4" s="710"/>
    </row>
    <row r="5" spans="1:14" s="711" customFormat="1" ht="16.5" customHeight="1">
      <c r="A5" s="635">
        <v>2</v>
      </c>
      <c r="B5" s="704">
        <v>4</v>
      </c>
      <c r="C5" s="150" t="s">
        <v>772</v>
      </c>
      <c r="D5" s="710">
        <v>118.5</v>
      </c>
      <c r="E5" s="710"/>
      <c r="F5" s="710"/>
      <c r="G5" s="710"/>
      <c r="H5" s="710">
        <v>90.5</v>
      </c>
      <c r="I5" s="710"/>
      <c r="J5" s="710">
        <v>2</v>
      </c>
      <c r="K5" s="710">
        <v>8</v>
      </c>
      <c r="L5" s="710">
        <v>18</v>
      </c>
      <c r="M5" s="706">
        <v>118.5</v>
      </c>
      <c r="N5" s="710"/>
    </row>
    <row r="6" spans="1:14" s="711" customFormat="1" ht="16.5" customHeight="1">
      <c r="A6" s="635">
        <v>2</v>
      </c>
      <c r="B6" s="704">
        <v>5</v>
      </c>
      <c r="C6" s="150" t="s">
        <v>527</v>
      </c>
      <c r="D6" s="710">
        <v>42.5</v>
      </c>
      <c r="E6" s="710"/>
      <c r="F6" s="710"/>
      <c r="G6" s="710">
        <v>4</v>
      </c>
      <c r="H6" s="710">
        <v>18</v>
      </c>
      <c r="I6" s="710">
        <v>5</v>
      </c>
      <c r="J6" s="710">
        <v>2.5</v>
      </c>
      <c r="K6" s="710">
        <v>3</v>
      </c>
      <c r="L6" s="710">
        <v>10</v>
      </c>
      <c r="M6" s="706">
        <f aca="true" t="shared" si="0" ref="M6:M21">SUM(E6:L6)</f>
        <v>42.5</v>
      </c>
      <c r="N6" s="710"/>
    </row>
    <row r="7" spans="1:14" s="711" customFormat="1" ht="16.5" customHeight="1">
      <c r="A7" s="635">
        <v>2</v>
      </c>
      <c r="B7" s="704">
        <v>6</v>
      </c>
      <c r="C7" s="150" t="s">
        <v>773</v>
      </c>
      <c r="D7" s="710">
        <v>101</v>
      </c>
      <c r="E7" s="710"/>
      <c r="F7" s="710"/>
      <c r="G7" s="710"/>
      <c r="H7" s="710">
        <v>73</v>
      </c>
      <c r="I7" s="710">
        <v>2</v>
      </c>
      <c r="J7" s="710">
        <v>4</v>
      </c>
      <c r="K7" s="710">
        <v>6</v>
      </c>
      <c r="L7" s="710">
        <v>18</v>
      </c>
      <c r="M7" s="706">
        <f t="shared" si="0"/>
        <v>103</v>
      </c>
      <c r="N7" s="710">
        <v>2</v>
      </c>
    </row>
    <row r="8" spans="1:14" s="711" customFormat="1" ht="16.5" customHeight="1">
      <c r="A8" s="635">
        <v>2</v>
      </c>
      <c r="B8" s="704">
        <v>7</v>
      </c>
      <c r="C8" s="150" t="s">
        <v>630</v>
      </c>
      <c r="D8" s="710">
        <v>96</v>
      </c>
      <c r="E8" s="710"/>
      <c r="F8" s="710"/>
      <c r="G8" s="710"/>
      <c r="H8" s="710">
        <v>69</v>
      </c>
      <c r="I8" s="710"/>
      <c r="J8" s="710">
        <v>4</v>
      </c>
      <c r="K8" s="710">
        <v>6</v>
      </c>
      <c r="L8" s="710">
        <v>17</v>
      </c>
      <c r="M8" s="706">
        <f t="shared" si="0"/>
        <v>96</v>
      </c>
      <c r="N8" s="710"/>
    </row>
    <row r="9" spans="1:14" s="711" customFormat="1" ht="16.5" customHeight="1">
      <c r="A9" s="635">
        <v>2</v>
      </c>
      <c r="B9" s="704">
        <v>8</v>
      </c>
      <c r="C9" s="150" t="s">
        <v>528</v>
      </c>
      <c r="D9" s="710">
        <v>59</v>
      </c>
      <c r="E9" s="710"/>
      <c r="F9" s="710"/>
      <c r="G9" s="710">
        <v>9</v>
      </c>
      <c r="H9" s="710">
        <v>33</v>
      </c>
      <c r="I9" s="710">
        <v>2</v>
      </c>
      <c r="J9" s="710">
        <v>5</v>
      </c>
      <c r="K9" s="710">
        <v>3</v>
      </c>
      <c r="L9" s="710">
        <v>7</v>
      </c>
      <c r="M9" s="706">
        <f t="shared" si="0"/>
        <v>59</v>
      </c>
      <c r="N9" s="710"/>
    </row>
    <row r="10" spans="1:14" s="711" customFormat="1" ht="16.5" customHeight="1">
      <c r="A10" s="635">
        <v>2</v>
      </c>
      <c r="B10" s="704">
        <v>9</v>
      </c>
      <c r="C10" s="150" t="s">
        <v>774</v>
      </c>
      <c r="D10" s="710">
        <v>40</v>
      </c>
      <c r="E10" s="710"/>
      <c r="F10" s="710"/>
      <c r="G10" s="710"/>
      <c r="H10" s="710">
        <v>34</v>
      </c>
      <c r="I10" s="710"/>
      <c r="J10" s="710"/>
      <c r="K10" s="710">
        <v>3</v>
      </c>
      <c r="L10" s="710">
        <v>3</v>
      </c>
      <c r="M10" s="706">
        <f t="shared" si="0"/>
        <v>40</v>
      </c>
      <c r="N10" s="710"/>
    </row>
    <row r="11" spans="1:14" s="711" customFormat="1" ht="16.5" customHeight="1">
      <c r="A11" s="712"/>
      <c r="B11" s="712"/>
      <c r="C11" s="23" t="s">
        <v>846</v>
      </c>
      <c r="D11" s="713">
        <f>SUM(D3:D10)</f>
        <v>615.3</v>
      </c>
      <c r="E11" s="713"/>
      <c r="F11" s="713"/>
      <c r="G11" s="713">
        <f>SUM(G2:G10)</f>
        <v>13</v>
      </c>
      <c r="H11" s="713">
        <f>SUM(H3:H10)</f>
        <v>439.3</v>
      </c>
      <c r="I11" s="713">
        <f>SUM(I3:I10)</f>
        <v>9</v>
      </c>
      <c r="J11" s="713">
        <f>SUM(J3:J10)</f>
        <v>23.5</v>
      </c>
      <c r="K11" s="713">
        <f>SUM(K3:K10)</f>
        <v>37</v>
      </c>
      <c r="L11" s="713">
        <f>SUM(L3:L10)</f>
        <v>95.5</v>
      </c>
      <c r="M11" s="713">
        <f t="shared" si="0"/>
        <v>617.3</v>
      </c>
      <c r="N11" s="713">
        <f>SUM(N3:N10)</f>
        <v>2</v>
      </c>
    </row>
    <row r="12" spans="1:14" s="711" customFormat="1" ht="16.5" customHeight="1">
      <c r="A12" s="635">
        <v>2</v>
      </c>
      <c r="B12" s="635">
        <v>10</v>
      </c>
      <c r="C12" s="21" t="s">
        <v>530</v>
      </c>
      <c r="D12" s="710">
        <v>71.5</v>
      </c>
      <c r="E12" s="710"/>
      <c r="F12" s="710"/>
      <c r="G12" s="710"/>
      <c r="H12" s="710">
        <v>53</v>
      </c>
      <c r="I12" s="710">
        <v>1</v>
      </c>
      <c r="J12" s="710">
        <v>3</v>
      </c>
      <c r="K12" s="710">
        <v>5</v>
      </c>
      <c r="L12" s="710">
        <v>10.5</v>
      </c>
      <c r="M12" s="714">
        <f t="shared" si="0"/>
        <v>72.5</v>
      </c>
      <c r="N12" s="710">
        <v>1</v>
      </c>
    </row>
    <row r="13" spans="1:14" s="711" customFormat="1" ht="16.5" customHeight="1">
      <c r="A13" s="635">
        <v>2</v>
      </c>
      <c r="B13" s="635">
        <v>11</v>
      </c>
      <c r="C13" s="21" t="s">
        <v>531</v>
      </c>
      <c r="D13" s="710">
        <v>56</v>
      </c>
      <c r="E13" s="710"/>
      <c r="F13" s="710"/>
      <c r="G13" s="710"/>
      <c r="H13" s="710">
        <v>42</v>
      </c>
      <c r="I13" s="710">
        <v>1</v>
      </c>
      <c r="J13" s="710">
        <v>2</v>
      </c>
      <c r="K13" s="710">
        <v>5</v>
      </c>
      <c r="L13" s="710">
        <v>7</v>
      </c>
      <c r="M13" s="714">
        <f t="shared" si="0"/>
        <v>57</v>
      </c>
      <c r="N13" s="710">
        <v>1</v>
      </c>
    </row>
    <row r="14" spans="1:14" s="711" customFormat="1" ht="16.5" customHeight="1">
      <c r="A14" s="635">
        <v>2</v>
      </c>
      <c r="B14" s="635">
        <v>12</v>
      </c>
      <c r="C14" s="21" t="s">
        <v>847</v>
      </c>
      <c r="D14" s="710">
        <v>47.5</v>
      </c>
      <c r="E14" s="710"/>
      <c r="F14" s="710">
        <v>1</v>
      </c>
      <c r="G14" s="710"/>
      <c r="H14" s="710">
        <v>22.5</v>
      </c>
      <c r="I14" s="710">
        <v>7</v>
      </c>
      <c r="J14" s="710">
        <v>1</v>
      </c>
      <c r="K14" s="710">
        <v>6</v>
      </c>
      <c r="L14" s="710">
        <v>10</v>
      </c>
      <c r="M14" s="714">
        <f t="shared" si="0"/>
        <v>47.5</v>
      </c>
      <c r="N14" s="710"/>
    </row>
    <row r="15" spans="1:14" s="711" customFormat="1" ht="16.5" customHeight="1">
      <c r="A15" s="635">
        <v>2</v>
      </c>
      <c r="B15" s="635">
        <v>13</v>
      </c>
      <c r="C15" s="21" t="s">
        <v>532</v>
      </c>
      <c r="D15" s="710">
        <v>48</v>
      </c>
      <c r="E15" s="710"/>
      <c r="F15" s="710"/>
      <c r="G15" s="710"/>
      <c r="H15" s="710">
        <v>39</v>
      </c>
      <c r="I15" s="710"/>
      <c r="J15" s="710"/>
      <c r="K15" s="710">
        <v>4</v>
      </c>
      <c r="L15" s="710">
        <v>5</v>
      </c>
      <c r="M15" s="714">
        <f t="shared" si="0"/>
        <v>48</v>
      </c>
      <c r="N15" s="710"/>
    </row>
    <row r="16" spans="1:14" s="711" customFormat="1" ht="24.75" customHeight="1">
      <c r="A16" s="635">
        <v>2</v>
      </c>
      <c r="B16" s="635">
        <v>14</v>
      </c>
      <c r="C16" s="157" t="s">
        <v>156</v>
      </c>
      <c r="D16" s="710">
        <v>156.5</v>
      </c>
      <c r="E16" s="715"/>
      <c r="F16" s="710"/>
      <c r="G16" s="710"/>
      <c r="H16" s="710">
        <v>118</v>
      </c>
      <c r="I16" s="710">
        <v>1.5</v>
      </c>
      <c r="J16" s="710">
        <v>1</v>
      </c>
      <c r="K16" s="710">
        <v>11</v>
      </c>
      <c r="L16" s="710">
        <v>25</v>
      </c>
      <c r="M16" s="714">
        <f t="shared" si="0"/>
        <v>156.5</v>
      </c>
      <c r="N16" s="710"/>
    </row>
    <row r="17" spans="1:14" s="711" customFormat="1" ht="24.75" customHeight="1">
      <c r="A17" s="635">
        <v>2</v>
      </c>
      <c r="B17" s="635">
        <v>15</v>
      </c>
      <c r="C17" s="157" t="s">
        <v>668</v>
      </c>
      <c r="D17" s="710">
        <v>121.5</v>
      </c>
      <c r="E17" s="710"/>
      <c r="F17" s="710"/>
      <c r="G17" s="710"/>
      <c r="H17" s="710">
        <v>89.5</v>
      </c>
      <c r="I17" s="710"/>
      <c r="J17" s="710">
        <v>2</v>
      </c>
      <c r="K17" s="710">
        <v>9</v>
      </c>
      <c r="L17" s="710">
        <v>21</v>
      </c>
      <c r="M17" s="714">
        <f t="shared" si="0"/>
        <v>121.5</v>
      </c>
      <c r="N17" s="710"/>
    </row>
    <row r="18" spans="1:14" s="711" customFormat="1" ht="26.25" customHeight="1">
      <c r="A18" s="635">
        <v>2</v>
      </c>
      <c r="B18" s="635">
        <v>16</v>
      </c>
      <c r="C18" s="157" t="s">
        <v>254</v>
      </c>
      <c r="D18" s="710">
        <v>134</v>
      </c>
      <c r="E18" s="715"/>
      <c r="F18" s="710"/>
      <c r="G18" s="710"/>
      <c r="H18" s="710">
        <v>88</v>
      </c>
      <c r="I18" s="710">
        <v>2</v>
      </c>
      <c r="J18" s="710">
        <v>3</v>
      </c>
      <c r="K18" s="710">
        <v>11</v>
      </c>
      <c r="L18" s="710">
        <v>30</v>
      </c>
      <c r="M18" s="714">
        <f t="shared" si="0"/>
        <v>134</v>
      </c>
      <c r="N18" s="710"/>
    </row>
    <row r="19" spans="1:14" s="711" customFormat="1" ht="16.5" customHeight="1">
      <c r="A19" s="635">
        <v>2</v>
      </c>
      <c r="B19" s="635">
        <v>17</v>
      </c>
      <c r="C19" s="150" t="s">
        <v>157</v>
      </c>
      <c r="D19" s="710">
        <v>65</v>
      </c>
      <c r="E19" s="710"/>
      <c r="F19" s="710"/>
      <c r="G19" s="710"/>
      <c r="H19" s="710">
        <v>33</v>
      </c>
      <c r="I19" s="710"/>
      <c r="J19" s="710">
        <v>1</v>
      </c>
      <c r="K19" s="710">
        <v>6</v>
      </c>
      <c r="L19" s="710">
        <v>25</v>
      </c>
      <c r="M19" s="714">
        <f t="shared" si="0"/>
        <v>65</v>
      </c>
      <c r="N19" s="710"/>
    </row>
    <row r="20" spans="1:14" s="716" customFormat="1" ht="16.5" customHeight="1">
      <c r="A20" s="13"/>
      <c r="B20" s="13"/>
      <c r="C20" s="23" t="s">
        <v>848</v>
      </c>
      <c r="D20" s="713">
        <f>SUM(D12:D19)</f>
        <v>700</v>
      </c>
      <c r="E20" s="713"/>
      <c r="F20" s="713">
        <v>1</v>
      </c>
      <c r="G20" s="713"/>
      <c r="H20" s="713">
        <f>SUM(H12:H19)</f>
        <v>485</v>
      </c>
      <c r="I20" s="713">
        <f>SUM(I12:I19)</f>
        <v>12.5</v>
      </c>
      <c r="J20" s="713">
        <f>SUM(J12:J19)</f>
        <v>13</v>
      </c>
      <c r="K20" s="713">
        <f>SUM(K12:K19)</f>
        <v>57</v>
      </c>
      <c r="L20" s="713">
        <f>SUM(L12:L19)</f>
        <v>133.5</v>
      </c>
      <c r="M20" s="713">
        <f t="shared" si="0"/>
        <v>702</v>
      </c>
      <c r="N20" s="713">
        <f>SUM(N12:N19)</f>
        <v>2</v>
      </c>
    </row>
    <row r="21" spans="1:14" s="711" customFormat="1" ht="16.5" customHeight="1">
      <c r="A21" s="13"/>
      <c r="B21" s="13"/>
      <c r="C21" s="23" t="s">
        <v>849</v>
      </c>
      <c r="D21" s="713">
        <f>SUM(D11+D20)</f>
        <v>1315.3</v>
      </c>
      <c r="E21" s="713"/>
      <c r="F21" s="713">
        <f aca="true" t="shared" si="1" ref="F21:L21">SUM(F11+F20)</f>
        <v>1</v>
      </c>
      <c r="G21" s="713">
        <f t="shared" si="1"/>
        <v>13</v>
      </c>
      <c r="H21" s="713">
        <f t="shared" si="1"/>
        <v>924.3</v>
      </c>
      <c r="I21" s="713">
        <f t="shared" si="1"/>
        <v>21.5</v>
      </c>
      <c r="J21" s="713">
        <f t="shared" si="1"/>
        <v>36.5</v>
      </c>
      <c r="K21" s="713">
        <f t="shared" si="1"/>
        <v>94</v>
      </c>
      <c r="L21" s="713">
        <f t="shared" si="1"/>
        <v>229</v>
      </c>
      <c r="M21" s="713">
        <f t="shared" si="0"/>
        <v>1319.3</v>
      </c>
      <c r="N21" s="713">
        <f>SUM(N11+N20)</f>
        <v>4</v>
      </c>
    </row>
    <row r="22" spans="1:14" s="722" customFormat="1" ht="15" customHeight="1">
      <c r="A22" s="717"/>
      <c r="B22" s="717"/>
      <c r="C22" s="718"/>
      <c r="D22" s="718"/>
      <c r="E22" s="718"/>
      <c r="F22" s="719"/>
      <c r="G22" s="719"/>
      <c r="H22" s="720"/>
      <c r="I22" s="721"/>
      <c r="J22" s="719"/>
      <c r="K22" s="719"/>
      <c r="L22" s="721"/>
      <c r="M22" s="721"/>
      <c r="N22" s="721"/>
    </row>
    <row r="23" spans="1:14" s="722" customFormat="1" ht="15" customHeight="1">
      <c r="A23" s="717"/>
      <c r="B23" s="717"/>
      <c r="C23" s="718"/>
      <c r="D23" s="718"/>
      <c r="E23" s="718"/>
      <c r="F23" s="719"/>
      <c r="G23" s="719"/>
      <c r="H23" s="720"/>
      <c r="I23" s="721"/>
      <c r="J23" s="719"/>
      <c r="K23" s="719"/>
      <c r="L23" s="721"/>
      <c r="M23" s="721"/>
      <c r="N23" s="721"/>
    </row>
    <row r="24" spans="1:14" s="722" customFormat="1" ht="15" customHeight="1">
      <c r="A24" s="717"/>
      <c r="B24" s="717"/>
      <c r="C24" s="718"/>
      <c r="D24" s="718"/>
      <c r="E24" s="718"/>
      <c r="F24" s="719"/>
      <c r="G24" s="719"/>
      <c r="H24" s="720"/>
      <c r="I24" s="721"/>
      <c r="J24" s="719"/>
      <c r="K24" s="719"/>
      <c r="L24" s="721"/>
      <c r="M24" s="721"/>
      <c r="N24" s="721"/>
    </row>
    <row r="25" spans="1:14" s="722" customFormat="1" ht="15" customHeight="1">
      <c r="A25" s="717"/>
      <c r="B25" s="717"/>
      <c r="C25" s="718"/>
      <c r="D25" s="718"/>
      <c r="E25" s="718"/>
      <c r="F25" s="719"/>
      <c r="G25" s="719"/>
      <c r="H25" s="720"/>
      <c r="I25" s="721"/>
      <c r="J25" s="719"/>
      <c r="K25" s="719"/>
      <c r="L25" s="721"/>
      <c r="M25" s="721"/>
      <c r="N25" s="721"/>
    </row>
    <row r="26" spans="1:14" s="722" customFormat="1" ht="1.5" customHeight="1" thickBot="1">
      <c r="A26" s="717"/>
      <c r="B26" s="717"/>
      <c r="C26" s="718"/>
      <c r="D26" s="718"/>
      <c r="E26" s="718"/>
      <c r="F26" s="719"/>
      <c r="G26" s="719"/>
      <c r="H26" s="720"/>
      <c r="I26" s="721"/>
      <c r="J26" s="719"/>
      <c r="K26" s="719"/>
      <c r="L26" s="721"/>
      <c r="M26" s="721"/>
      <c r="N26" s="721"/>
    </row>
    <row r="27" spans="1:14" ht="54" customHeight="1" thickBot="1">
      <c r="A27" s="699" t="s">
        <v>423</v>
      </c>
      <c r="B27" s="700" t="s">
        <v>759</v>
      </c>
      <c r="C27" s="700" t="s">
        <v>612</v>
      </c>
      <c r="D27" s="700" t="s">
        <v>760</v>
      </c>
      <c r="E27" s="700" t="s">
        <v>761</v>
      </c>
      <c r="F27" s="700" t="s">
        <v>762</v>
      </c>
      <c r="G27" s="700" t="s">
        <v>763</v>
      </c>
      <c r="H27" s="700" t="s">
        <v>764</v>
      </c>
      <c r="I27" s="701" t="s">
        <v>765</v>
      </c>
      <c r="J27" s="701" t="s">
        <v>766</v>
      </c>
      <c r="K27" s="701" t="s">
        <v>767</v>
      </c>
      <c r="L27" s="701" t="s">
        <v>768</v>
      </c>
      <c r="M27" s="700" t="s">
        <v>769</v>
      </c>
      <c r="N27" s="702" t="s">
        <v>770</v>
      </c>
    </row>
    <row r="28" spans="1:14" s="711" customFormat="1" ht="15" customHeight="1">
      <c r="A28" s="709">
        <v>2</v>
      </c>
      <c r="B28" s="709">
        <v>18</v>
      </c>
      <c r="C28" s="21" t="s">
        <v>1220</v>
      </c>
      <c r="D28" s="710">
        <v>219</v>
      </c>
      <c r="E28" s="710"/>
      <c r="F28" s="710">
        <v>4.5</v>
      </c>
      <c r="G28" s="710"/>
      <c r="H28" s="710"/>
      <c r="I28" s="710"/>
      <c r="J28" s="710">
        <v>151.5</v>
      </c>
      <c r="K28" s="710">
        <v>15</v>
      </c>
      <c r="L28" s="710">
        <v>48</v>
      </c>
      <c r="M28" s="710">
        <v>219</v>
      </c>
      <c r="N28" s="710"/>
    </row>
    <row r="29" spans="1:14" s="711" customFormat="1" ht="15" customHeight="1">
      <c r="A29" s="635"/>
      <c r="B29" s="634" t="s">
        <v>1109</v>
      </c>
      <c r="C29" s="21" t="s">
        <v>850</v>
      </c>
      <c r="D29" s="710">
        <v>118.5</v>
      </c>
      <c r="E29" s="710"/>
      <c r="F29" s="710">
        <v>0.5</v>
      </c>
      <c r="G29" s="723"/>
      <c r="H29" s="710"/>
      <c r="I29" s="710"/>
      <c r="J29" s="710">
        <v>74</v>
      </c>
      <c r="K29" s="710">
        <v>4</v>
      </c>
      <c r="L29" s="710">
        <v>40</v>
      </c>
      <c r="M29" s="710">
        <f aca="true" t="shared" si="2" ref="M29:M45">SUM(E29:L29)</f>
        <v>118.5</v>
      </c>
      <c r="N29" s="710"/>
    </row>
    <row r="30" spans="1:14" s="711" customFormat="1" ht="15" customHeight="1">
      <c r="A30" s="635"/>
      <c r="B30" s="634" t="s">
        <v>1110</v>
      </c>
      <c r="C30" s="21" t="s">
        <v>851</v>
      </c>
      <c r="D30" s="710">
        <v>34</v>
      </c>
      <c r="E30" s="710"/>
      <c r="F30" s="710"/>
      <c r="G30" s="710"/>
      <c r="H30" s="710"/>
      <c r="I30" s="710"/>
      <c r="J30" s="710">
        <v>32</v>
      </c>
      <c r="K30" s="710">
        <v>2</v>
      </c>
      <c r="L30" s="710"/>
      <c r="M30" s="710">
        <f t="shared" si="2"/>
        <v>34</v>
      </c>
      <c r="N30" s="710"/>
    </row>
    <row r="31" spans="1:14" s="711" customFormat="1" ht="15" customHeight="1">
      <c r="A31" s="635"/>
      <c r="B31" s="634" t="s">
        <v>1111</v>
      </c>
      <c r="C31" s="21" t="s">
        <v>852</v>
      </c>
      <c r="D31" s="710">
        <v>56.5</v>
      </c>
      <c r="E31" s="710"/>
      <c r="F31" s="710">
        <v>4</v>
      </c>
      <c r="G31" s="710"/>
      <c r="H31" s="710"/>
      <c r="I31" s="710"/>
      <c r="J31" s="710">
        <v>45.5</v>
      </c>
      <c r="K31" s="710"/>
      <c r="L31" s="710">
        <v>7</v>
      </c>
      <c r="M31" s="710">
        <f t="shared" si="2"/>
        <v>56.5</v>
      </c>
      <c r="N31" s="710"/>
    </row>
    <row r="32" spans="1:14" s="711" customFormat="1" ht="15" customHeight="1">
      <c r="A32" s="635"/>
      <c r="B32" s="634" t="s">
        <v>1112</v>
      </c>
      <c r="C32" s="21" t="s">
        <v>676</v>
      </c>
      <c r="D32" s="710">
        <v>10</v>
      </c>
      <c r="E32" s="710"/>
      <c r="F32" s="710"/>
      <c r="G32" s="710"/>
      <c r="H32" s="710"/>
      <c r="I32" s="710"/>
      <c r="J32" s="710"/>
      <c r="K32" s="710">
        <v>9</v>
      </c>
      <c r="L32" s="710">
        <v>1</v>
      </c>
      <c r="M32" s="710">
        <f t="shared" si="2"/>
        <v>10</v>
      </c>
      <c r="N32" s="710"/>
    </row>
    <row r="33" spans="1:14" s="711" customFormat="1" ht="15" customHeight="1">
      <c r="A33" s="635">
        <v>2</v>
      </c>
      <c r="B33" s="635">
        <v>19</v>
      </c>
      <c r="C33" s="21" t="s">
        <v>537</v>
      </c>
      <c r="D33" s="710">
        <v>152</v>
      </c>
      <c r="E33" s="710"/>
      <c r="F33" s="710"/>
      <c r="G33" s="710"/>
      <c r="H33" s="710"/>
      <c r="I33" s="710"/>
      <c r="J33" s="710">
        <v>91.5</v>
      </c>
      <c r="K33" s="710">
        <v>10</v>
      </c>
      <c r="L33" s="710">
        <v>50.5</v>
      </c>
      <c r="M33" s="710">
        <f t="shared" si="2"/>
        <v>152</v>
      </c>
      <c r="N33" s="710"/>
    </row>
    <row r="34" spans="1:14" s="711" customFormat="1" ht="15" customHeight="1">
      <c r="A34" s="635">
        <v>2</v>
      </c>
      <c r="B34" s="635">
        <v>20</v>
      </c>
      <c r="C34" s="21" t="s">
        <v>538</v>
      </c>
      <c r="D34" s="710">
        <v>251.5</v>
      </c>
      <c r="E34" s="710"/>
      <c r="F34" s="710"/>
      <c r="G34" s="724">
        <v>145</v>
      </c>
      <c r="H34" s="710"/>
      <c r="I34" s="710"/>
      <c r="J34" s="710"/>
      <c r="K34" s="710">
        <v>12</v>
      </c>
      <c r="L34" s="710">
        <v>94.5</v>
      </c>
      <c r="M34" s="710">
        <f t="shared" si="2"/>
        <v>251.5</v>
      </c>
      <c r="N34" s="710"/>
    </row>
    <row r="35" spans="1:14" s="711" customFormat="1" ht="15" customHeight="1">
      <c r="A35" s="634"/>
      <c r="B35" s="634" t="s">
        <v>994</v>
      </c>
      <c r="C35" s="150" t="s">
        <v>853</v>
      </c>
      <c r="D35" s="724">
        <v>64</v>
      </c>
      <c r="E35" s="710"/>
      <c r="F35" s="710"/>
      <c r="G35" s="724">
        <v>38</v>
      </c>
      <c r="H35" s="710"/>
      <c r="I35" s="710"/>
      <c r="J35" s="710"/>
      <c r="K35" s="724">
        <v>2</v>
      </c>
      <c r="L35" s="724">
        <v>24</v>
      </c>
      <c r="M35" s="724">
        <f t="shared" si="2"/>
        <v>64</v>
      </c>
      <c r="N35" s="710"/>
    </row>
    <row r="36" spans="1:14" s="711" customFormat="1" ht="15" customHeight="1">
      <c r="A36" s="634"/>
      <c r="B36" s="634" t="s">
        <v>995</v>
      </c>
      <c r="C36" s="150" t="s">
        <v>854</v>
      </c>
      <c r="D36" s="724">
        <v>64</v>
      </c>
      <c r="E36" s="710"/>
      <c r="F36" s="710"/>
      <c r="G36" s="724">
        <v>38</v>
      </c>
      <c r="H36" s="710"/>
      <c r="I36" s="710"/>
      <c r="J36" s="710"/>
      <c r="K36" s="710">
        <v>1.5</v>
      </c>
      <c r="L36" s="710">
        <v>24.5</v>
      </c>
      <c r="M36" s="724">
        <f t="shared" si="2"/>
        <v>64</v>
      </c>
      <c r="N36" s="710"/>
    </row>
    <row r="37" spans="1:14" s="711" customFormat="1" ht="15" customHeight="1">
      <c r="A37" s="634"/>
      <c r="B37" s="634" t="s">
        <v>996</v>
      </c>
      <c r="C37" s="150" t="s">
        <v>855</v>
      </c>
      <c r="D37" s="724">
        <v>52</v>
      </c>
      <c r="E37" s="710"/>
      <c r="F37" s="710"/>
      <c r="G37" s="724">
        <v>31</v>
      </c>
      <c r="H37" s="710"/>
      <c r="I37" s="710"/>
      <c r="J37" s="710"/>
      <c r="K37" s="724">
        <v>1</v>
      </c>
      <c r="L37" s="724">
        <v>20</v>
      </c>
      <c r="M37" s="724">
        <f t="shared" si="2"/>
        <v>52</v>
      </c>
      <c r="N37" s="710"/>
    </row>
    <row r="38" spans="1:14" s="711" customFormat="1" ht="15" customHeight="1">
      <c r="A38" s="634"/>
      <c r="B38" s="634" t="s">
        <v>1113</v>
      </c>
      <c r="C38" s="150" t="s">
        <v>856</v>
      </c>
      <c r="D38" s="710">
        <v>65.5</v>
      </c>
      <c r="E38" s="710"/>
      <c r="F38" s="710"/>
      <c r="G38" s="724">
        <v>38</v>
      </c>
      <c r="H38" s="710"/>
      <c r="I38" s="710"/>
      <c r="J38" s="710"/>
      <c r="K38" s="710">
        <v>1.5</v>
      </c>
      <c r="L38" s="724">
        <v>26</v>
      </c>
      <c r="M38" s="710">
        <f t="shared" si="2"/>
        <v>65.5</v>
      </c>
      <c r="N38" s="710"/>
    </row>
    <row r="39" spans="1:14" s="711" customFormat="1" ht="15" customHeight="1">
      <c r="A39" s="634"/>
      <c r="B39" s="634" t="s">
        <v>1114</v>
      </c>
      <c r="C39" s="21" t="s">
        <v>676</v>
      </c>
      <c r="D39" s="724">
        <v>6</v>
      </c>
      <c r="E39" s="710"/>
      <c r="F39" s="710"/>
      <c r="G39" s="710"/>
      <c r="H39" s="710"/>
      <c r="I39" s="710"/>
      <c r="J39" s="710"/>
      <c r="K39" s="710">
        <v>6</v>
      </c>
      <c r="L39" s="710"/>
      <c r="M39" s="710">
        <f t="shared" si="2"/>
        <v>6</v>
      </c>
      <c r="N39" s="710"/>
    </row>
    <row r="40" spans="1:14" s="711" customFormat="1" ht="15" customHeight="1">
      <c r="A40" s="635">
        <v>2</v>
      </c>
      <c r="B40" s="635">
        <v>21</v>
      </c>
      <c r="C40" s="21" t="s">
        <v>857</v>
      </c>
      <c r="D40" s="710">
        <v>69</v>
      </c>
      <c r="E40" s="710"/>
      <c r="F40" s="710"/>
      <c r="G40" s="710"/>
      <c r="H40" s="710"/>
      <c r="I40" s="710">
        <v>22.5</v>
      </c>
      <c r="J40" s="710">
        <v>7.5</v>
      </c>
      <c r="K40" s="710">
        <v>7.5</v>
      </c>
      <c r="L40" s="710">
        <v>28</v>
      </c>
      <c r="M40" s="710">
        <f t="shared" si="2"/>
        <v>65.5</v>
      </c>
      <c r="N40" s="710">
        <v>-3.5</v>
      </c>
    </row>
    <row r="41" spans="1:14" s="711" customFormat="1" ht="15" customHeight="1">
      <c r="A41" s="635"/>
      <c r="B41" s="634" t="s">
        <v>1115</v>
      </c>
      <c r="C41" s="150" t="s">
        <v>539</v>
      </c>
      <c r="D41" s="710">
        <v>16</v>
      </c>
      <c r="E41" s="710"/>
      <c r="F41" s="710"/>
      <c r="G41" s="710"/>
      <c r="H41" s="710"/>
      <c r="I41" s="710">
        <v>13</v>
      </c>
      <c r="J41" s="710"/>
      <c r="K41" s="710"/>
      <c r="L41" s="710">
        <v>3</v>
      </c>
      <c r="M41" s="710">
        <f t="shared" si="2"/>
        <v>16</v>
      </c>
      <c r="N41" s="710"/>
    </row>
    <row r="42" spans="1:14" s="711" customFormat="1" ht="15" customHeight="1">
      <c r="A42" s="635"/>
      <c r="B42" s="634" t="s">
        <v>1116</v>
      </c>
      <c r="C42" s="150" t="s">
        <v>858</v>
      </c>
      <c r="D42" s="710">
        <v>50</v>
      </c>
      <c r="E42" s="710"/>
      <c r="F42" s="710"/>
      <c r="G42" s="710"/>
      <c r="H42" s="710"/>
      <c r="I42" s="736">
        <v>9.5</v>
      </c>
      <c r="J42" s="736">
        <v>4.5</v>
      </c>
      <c r="K42" s="736">
        <v>7.5</v>
      </c>
      <c r="L42" s="710">
        <v>25</v>
      </c>
      <c r="M42" s="736">
        <f t="shared" si="2"/>
        <v>46.5</v>
      </c>
      <c r="N42" s="736">
        <v>-3.5</v>
      </c>
    </row>
    <row r="43" spans="1:14" s="711" customFormat="1" ht="15" customHeight="1">
      <c r="A43" s="635"/>
      <c r="B43" s="634" t="s">
        <v>1117</v>
      </c>
      <c r="C43" s="150" t="s">
        <v>103</v>
      </c>
      <c r="D43" s="710">
        <v>3</v>
      </c>
      <c r="E43" s="710"/>
      <c r="F43" s="710"/>
      <c r="G43" s="710"/>
      <c r="H43" s="710"/>
      <c r="I43" s="710"/>
      <c r="J43" s="710">
        <v>3</v>
      </c>
      <c r="K43" s="710"/>
      <c r="L43" s="710"/>
      <c r="M43" s="710">
        <f t="shared" si="2"/>
        <v>3</v>
      </c>
      <c r="N43" s="710"/>
    </row>
    <row r="44" spans="1:14" s="711" customFormat="1" ht="15" customHeight="1">
      <c r="A44" s="635">
        <v>2</v>
      </c>
      <c r="B44" s="635">
        <v>22</v>
      </c>
      <c r="C44" s="21" t="s">
        <v>540</v>
      </c>
      <c r="D44" s="710">
        <v>4.5</v>
      </c>
      <c r="E44" s="710"/>
      <c r="F44" s="710"/>
      <c r="G44" s="710"/>
      <c r="H44" s="710"/>
      <c r="I44" s="725"/>
      <c r="J44" s="710"/>
      <c r="K44" s="710"/>
      <c r="L44" s="710"/>
      <c r="M44" s="710">
        <f t="shared" si="2"/>
        <v>0</v>
      </c>
      <c r="N44" s="736">
        <v>-4.5</v>
      </c>
    </row>
    <row r="45" spans="1:14" s="711" customFormat="1" ht="15" customHeight="1">
      <c r="A45" s="635">
        <v>2</v>
      </c>
      <c r="B45" s="635">
        <v>23</v>
      </c>
      <c r="C45" s="21" t="s">
        <v>859</v>
      </c>
      <c r="D45" s="710">
        <v>20</v>
      </c>
      <c r="E45" s="710"/>
      <c r="F45" s="710"/>
      <c r="G45" s="710"/>
      <c r="H45" s="710"/>
      <c r="I45" s="710"/>
      <c r="J45" s="710"/>
      <c r="K45" s="710">
        <v>4</v>
      </c>
      <c r="L45" s="710">
        <v>16</v>
      </c>
      <c r="M45" s="710">
        <f t="shared" si="2"/>
        <v>20</v>
      </c>
      <c r="N45" s="710"/>
    </row>
    <row r="46" spans="1:14" s="711" customFormat="1" ht="15" customHeight="1">
      <c r="A46" s="635">
        <v>2</v>
      </c>
      <c r="B46" s="635">
        <v>24</v>
      </c>
      <c r="C46" s="21" t="s">
        <v>542</v>
      </c>
      <c r="D46" s="710">
        <v>9</v>
      </c>
      <c r="E46" s="710"/>
      <c r="F46" s="710"/>
      <c r="G46" s="710"/>
      <c r="H46" s="710"/>
      <c r="I46" s="710"/>
      <c r="J46" s="710"/>
      <c r="K46" s="710">
        <v>3</v>
      </c>
      <c r="L46" s="710">
        <v>6</v>
      </c>
      <c r="M46" s="710">
        <v>9</v>
      </c>
      <c r="N46" s="710"/>
    </row>
    <row r="47" spans="1:14" s="711" customFormat="1" ht="15" customHeight="1">
      <c r="A47" s="11"/>
      <c r="B47" s="11"/>
      <c r="C47" s="150" t="s">
        <v>860</v>
      </c>
      <c r="D47" s="710">
        <v>0</v>
      </c>
      <c r="E47" s="710"/>
      <c r="F47" s="710"/>
      <c r="G47" s="710"/>
      <c r="H47" s="710"/>
      <c r="I47" s="710"/>
      <c r="J47" s="710"/>
      <c r="K47" s="710"/>
      <c r="L47" s="710"/>
      <c r="M47" s="710">
        <f>SUM(E47:L47)</f>
        <v>0</v>
      </c>
      <c r="N47" s="710"/>
    </row>
    <row r="48" spans="1:14" s="711" customFormat="1" ht="15" customHeight="1">
      <c r="A48" s="11">
        <v>2</v>
      </c>
      <c r="B48" s="11">
        <v>25</v>
      </c>
      <c r="C48" s="21" t="s">
        <v>861</v>
      </c>
      <c r="D48" s="710">
        <v>144</v>
      </c>
      <c r="E48" s="710"/>
      <c r="F48" s="710"/>
      <c r="G48" s="710"/>
      <c r="H48" s="710"/>
      <c r="I48" s="710"/>
      <c r="J48" s="710">
        <v>49</v>
      </c>
      <c r="K48" s="710">
        <v>17</v>
      </c>
      <c r="L48" s="710">
        <v>78</v>
      </c>
      <c r="M48" s="710">
        <v>144</v>
      </c>
      <c r="N48" s="710"/>
    </row>
    <row r="49" spans="1:14" s="711" customFormat="1" ht="15" customHeight="1">
      <c r="A49" s="11"/>
      <c r="B49" s="11" t="s">
        <v>997</v>
      </c>
      <c r="C49" s="150" t="s">
        <v>862</v>
      </c>
      <c r="D49" s="710">
        <v>127</v>
      </c>
      <c r="E49" s="710"/>
      <c r="F49" s="710"/>
      <c r="G49" s="710"/>
      <c r="H49" s="710"/>
      <c r="I49" s="710"/>
      <c r="J49" s="710">
        <v>39</v>
      </c>
      <c r="K49" s="710">
        <v>16</v>
      </c>
      <c r="L49" s="710">
        <v>72</v>
      </c>
      <c r="M49" s="710">
        <f>SUM(E49:L49)</f>
        <v>127</v>
      </c>
      <c r="N49" s="710"/>
    </row>
    <row r="50" spans="1:14" s="711" customFormat="1" ht="15" customHeight="1">
      <c r="A50" s="11"/>
      <c r="B50" s="11" t="s">
        <v>998</v>
      </c>
      <c r="C50" s="150" t="s">
        <v>863</v>
      </c>
      <c r="D50" s="710">
        <v>17</v>
      </c>
      <c r="E50" s="710"/>
      <c r="F50" s="710"/>
      <c r="G50" s="710"/>
      <c r="H50" s="710"/>
      <c r="I50" s="710"/>
      <c r="J50" s="710">
        <v>10</v>
      </c>
      <c r="K50" s="710">
        <v>1</v>
      </c>
      <c r="L50" s="710">
        <v>6</v>
      </c>
      <c r="M50" s="710">
        <v>17</v>
      </c>
      <c r="N50" s="710"/>
    </row>
    <row r="51" spans="1:14" s="716" customFormat="1" ht="15" customHeight="1" thickBot="1">
      <c r="A51" s="726"/>
      <c r="B51" s="726"/>
      <c r="C51" s="23" t="s">
        <v>613</v>
      </c>
      <c r="D51" s="713">
        <v>869</v>
      </c>
      <c r="E51" s="713">
        <f aca="true" t="shared" si="3" ref="E51:N51">SUM(E28+E33+E34+E40+E44+E45+E46+E47+E48)</f>
        <v>0</v>
      </c>
      <c r="F51" s="713">
        <f t="shared" si="3"/>
        <v>4.5</v>
      </c>
      <c r="G51" s="713">
        <f t="shared" si="3"/>
        <v>145</v>
      </c>
      <c r="H51" s="713">
        <f t="shared" si="3"/>
        <v>0</v>
      </c>
      <c r="I51" s="713">
        <f t="shared" si="3"/>
        <v>22.5</v>
      </c>
      <c r="J51" s="713">
        <f t="shared" si="3"/>
        <v>299.5</v>
      </c>
      <c r="K51" s="713">
        <f t="shared" si="3"/>
        <v>68.5</v>
      </c>
      <c r="L51" s="713">
        <f t="shared" si="3"/>
        <v>321</v>
      </c>
      <c r="M51" s="713">
        <f t="shared" si="3"/>
        <v>861</v>
      </c>
      <c r="N51" s="713">
        <f t="shared" si="3"/>
        <v>-8</v>
      </c>
    </row>
    <row r="52" spans="1:14" s="716" customFormat="1" ht="15" customHeight="1" thickBot="1">
      <c r="A52" s="727"/>
      <c r="B52" s="728"/>
      <c r="C52" s="729" t="s">
        <v>864</v>
      </c>
      <c r="D52" s="730">
        <f aca="true" t="shared" si="4" ref="D52:M52">SUM(D21+D51)</f>
        <v>2184.3</v>
      </c>
      <c r="E52" s="730">
        <f t="shared" si="4"/>
        <v>0</v>
      </c>
      <c r="F52" s="730">
        <f t="shared" si="4"/>
        <v>5.5</v>
      </c>
      <c r="G52" s="730">
        <f t="shared" si="4"/>
        <v>158</v>
      </c>
      <c r="H52" s="730">
        <f t="shared" si="4"/>
        <v>924.3</v>
      </c>
      <c r="I52" s="730">
        <f t="shared" si="4"/>
        <v>44</v>
      </c>
      <c r="J52" s="730">
        <f t="shared" si="4"/>
        <v>336</v>
      </c>
      <c r="K52" s="730">
        <f t="shared" si="4"/>
        <v>162.5</v>
      </c>
      <c r="L52" s="730">
        <f t="shared" si="4"/>
        <v>550</v>
      </c>
      <c r="M52" s="730">
        <f t="shared" si="4"/>
        <v>2180.3</v>
      </c>
      <c r="N52" s="730">
        <f>N21+N51</f>
        <v>-4</v>
      </c>
    </row>
    <row r="53" spans="1:14" s="716" customFormat="1" ht="15" customHeight="1" thickBot="1">
      <c r="A53" s="727"/>
      <c r="B53" s="728"/>
      <c r="C53" s="729" t="s">
        <v>476</v>
      </c>
      <c r="D53" s="730">
        <f>SUM(D2+D21+D51)</f>
        <v>2399.3</v>
      </c>
      <c r="E53" s="730">
        <f>SUM(E2+E21+E51)</f>
        <v>180</v>
      </c>
      <c r="F53" s="730">
        <f>SUM(F2+F21+F51)</f>
        <v>5.5</v>
      </c>
      <c r="G53" s="730">
        <f>SUM(G2+G21+G51)</f>
        <v>158</v>
      </c>
      <c r="H53" s="730">
        <f>SUM(H2+H21+H51)</f>
        <v>924.3</v>
      </c>
      <c r="I53" s="730">
        <v>44</v>
      </c>
      <c r="J53" s="730">
        <f>SUM(J2+J21+J51)</f>
        <v>336</v>
      </c>
      <c r="K53" s="730">
        <f>SUM(K2+K21+K51)</f>
        <v>186.5</v>
      </c>
      <c r="L53" s="730">
        <f>SUM(L2+L21+L51)</f>
        <v>561</v>
      </c>
      <c r="M53" s="713">
        <f>SUM(E53:L53)</f>
        <v>2395.3</v>
      </c>
      <c r="N53" s="730">
        <f>SUM(N2+N21+N51)</f>
        <v>-4</v>
      </c>
    </row>
    <row r="54" spans="1:14" s="711" customFormat="1" ht="15" customHeight="1">
      <c r="A54" s="731"/>
      <c r="B54" s="731"/>
      <c r="C54" s="731"/>
      <c r="D54" s="731"/>
      <c r="E54" s="731"/>
      <c r="F54" s="731"/>
      <c r="G54" s="731"/>
      <c r="H54" s="731"/>
      <c r="I54" s="732"/>
      <c r="J54" s="732"/>
      <c r="K54" s="732"/>
      <c r="L54" s="732"/>
      <c r="M54" s="732"/>
      <c r="N54" s="732"/>
    </row>
    <row r="55" spans="1:14" s="711" customFormat="1" ht="15" customHeight="1">
      <c r="A55" s="731"/>
      <c r="B55" s="731"/>
      <c r="C55" s="731"/>
      <c r="D55" s="731"/>
      <c r="E55" s="731"/>
      <c r="F55" s="731"/>
      <c r="G55" s="731"/>
      <c r="H55" s="731"/>
      <c r="I55" s="732"/>
      <c r="J55" s="732"/>
      <c r="K55" s="732"/>
      <c r="L55" s="732"/>
      <c r="M55" s="732"/>
      <c r="N55" s="732"/>
    </row>
    <row r="56" spans="1:14" s="711" customFormat="1" ht="15" customHeight="1">
      <c r="A56" s="731"/>
      <c r="B56" s="731"/>
      <c r="C56" s="731"/>
      <c r="D56" s="731"/>
      <c r="E56" s="731"/>
      <c r="F56" s="731"/>
      <c r="G56" s="731"/>
      <c r="H56" s="731"/>
      <c r="I56" s="732"/>
      <c r="J56" s="732"/>
      <c r="K56" s="732"/>
      <c r="L56" s="732"/>
      <c r="M56" s="732"/>
      <c r="N56" s="732"/>
    </row>
    <row r="57" spans="1:14" s="711" customFormat="1" ht="15" customHeight="1">
      <c r="A57" s="731"/>
      <c r="B57" s="731"/>
      <c r="C57" s="731"/>
      <c r="D57" s="731"/>
      <c r="E57" s="731"/>
      <c r="F57" s="731"/>
      <c r="G57" s="731"/>
      <c r="H57" s="731"/>
      <c r="I57" s="732"/>
      <c r="J57" s="732"/>
      <c r="K57" s="732"/>
      <c r="L57" s="732"/>
      <c r="M57" s="732"/>
      <c r="N57" s="732"/>
    </row>
    <row r="58" spans="1:14" s="711" customFormat="1" ht="15" customHeight="1">
      <c r="A58" s="731"/>
      <c r="B58" s="731"/>
      <c r="C58" s="731"/>
      <c r="D58" s="731"/>
      <c r="E58" s="731"/>
      <c r="F58" s="731"/>
      <c r="G58" s="731"/>
      <c r="H58" s="731"/>
      <c r="I58" s="732"/>
      <c r="J58" s="732"/>
      <c r="K58" s="732"/>
      <c r="L58" s="732"/>
      <c r="M58" s="732"/>
      <c r="N58" s="732"/>
    </row>
    <row r="59" spans="1:14" s="711" customFormat="1" ht="15" customHeight="1">
      <c r="A59" s="731"/>
      <c r="B59" s="731"/>
      <c r="C59" s="731"/>
      <c r="D59" s="731"/>
      <c r="E59" s="731"/>
      <c r="F59" s="731"/>
      <c r="G59" s="731"/>
      <c r="H59" s="731"/>
      <c r="I59" s="732"/>
      <c r="J59" s="732"/>
      <c r="K59" s="732"/>
      <c r="L59" s="732"/>
      <c r="M59" s="732"/>
      <c r="N59" s="732"/>
    </row>
    <row r="60" spans="1:14" s="711" customFormat="1" ht="15" customHeight="1">
      <c r="A60" s="731"/>
      <c r="B60" s="731"/>
      <c r="C60" s="731"/>
      <c r="D60" s="731"/>
      <c r="E60" s="731"/>
      <c r="F60" s="731"/>
      <c r="G60" s="731"/>
      <c r="H60" s="731"/>
      <c r="I60" s="732"/>
      <c r="J60" s="732"/>
      <c r="K60" s="732"/>
      <c r="L60" s="732"/>
      <c r="M60" s="732"/>
      <c r="N60" s="732"/>
    </row>
    <row r="61" spans="1:14" s="711" customFormat="1" ht="15" customHeight="1">
      <c r="A61" s="731"/>
      <c r="B61" s="731"/>
      <c r="C61" s="731"/>
      <c r="D61" s="731"/>
      <c r="E61" s="731"/>
      <c r="F61" s="731"/>
      <c r="G61" s="731"/>
      <c r="H61" s="731"/>
      <c r="I61" s="732"/>
      <c r="J61" s="732"/>
      <c r="K61" s="732"/>
      <c r="L61" s="732"/>
      <c r="M61" s="732"/>
      <c r="N61" s="732"/>
    </row>
    <row r="62" spans="1:14" s="711" customFormat="1" ht="15" customHeight="1">
      <c r="A62" s="731"/>
      <c r="B62" s="731"/>
      <c r="C62" s="731"/>
      <c r="D62" s="731"/>
      <c r="E62" s="731"/>
      <c r="F62" s="731"/>
      <c r="G62" s="731"/>
      <c r="H62" s="731"/>
      <c r="I62" s="732"/>
      <c r="J62" s="732"/>
      <c r="K62" s="732"/>
      <c r="L62" s="732"/>
      <c r="M62" s="732"/>
      <c r="N62" s="732"/>
    </row>
    <row r="63" spans="1:14" s="711" customFormat="1" ht="15" customHeight="1">
      <c r="A63" s="731"/>
      <c r="B63" s="731"/>
      <c r="C63" s="731"/>
      <c r="D63" s="731"/>
      <c r="E63" s="731"/>
      <c r="F63" s="731"/>
      <c r="G63" s="731"/>
      <c r="H63" s="731"/>
      <c r="I63" s="732"/>
      <c r="J63" s="732"/>
      <c r="K63" s="732"/>
      <c r="L63" s="732"/>
      <c r="M63" s="732"/>
      <c r="N63" s="732"/>
    </row>
    <row r="64" spans="1:14" s="711" customFormat="1" ht="15" customHeight="1">
      <c r="A64" s="731"/>
      <c r="B64" s="731"/>
      <c r="C64" s="731"/>
      <c r="D64" s="731"/>
      <c r="E64" s="731"/>
      <c r="F64" s="731"/>
      <c r="G64" s="731"/>
      <c r="H64" s="731"/>
      <c r="I64" s="732"/>
      <c r="J64" s="732"/>
      <c r="K64" s="732"/>
      <c r="L64" s="732"/>
      <c r="M64" s="732"/>
      <c r="N64" s="732"/>
    </row>
    <row r="65" spans="1:14" s="711" customFormat="1" ht="15" customHeight="1">
      <c r="A65" s="731"/>
      <c r="B65" s="731"/>
      <c r="C65" s="731"/>
      <c r="D65" s="731"/>
      <c r="E65" s="731"/>
      <c r="F65" s="731"/>
      <c r="G65" s="731"/>
      <c r="H65" s="731"/>
      <c r="I65" s="732"/>
      <c r="J65" s="732"/>
      <c r="K65" s="732"/>
      <c r="L65" s="732"/>
      <c r="M65" s="732"/>
      <c r="N65" s="732"/>
    </row>
    <row r="66" spans="1:14" ht="15" customHeight="1">
      <c r="A66" s="733"/>
      <c r="B66" s="733"/>
      <c r="C66" s="733"/>
      <c r="D66" s="733"/>
      <c r="E66" s="733"/>
      <c r="F66" s="733"/>
      <c r="G66" s="733"/>
      <c r="H66" s="733"/>
      <c r="I66" s="734"/>
      <c r="J66" s="734"/>
      <c r="K66" s="734"/>
      <c r="L66" s="734"/>
      <c r="M66" s="734"/>
      <c r="N66" s="734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</sheetData>
  <printOptions horizontalCentered="1" verticalCentered="1"/>
  <pageMargins left="0.3937007874015748" right="0.3937007874015748" top="1.1811023622047245" bottom="0.7874015748031497" header="0.5118110236220472" footer="0.5118110236220472"/>
  <pageSetup horizontalDpi="600" verticalDpi="600" orientation="landscape" paperSize="9" scale="90" r:id="rId1"/>
  <headerFooter alignWithMargins="0">
    <oddHeader>&amp;C&amp;"Times New Roman,Félkövér"Z.M.J.V. Önkormányzata által irányított
költségvetési szerveinek  költségvetési létszámkerete
 2012. évben &amp;R&amp;"Times New Roman,Félkövér dőlt"10/a. sz. melléklet
Adatok:  főben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98"/>
  <sheetViews>
    <sheetView workbookViewId="0" topLeftCell="B1">
      <pane ySplit="2" topLeftCell="BM50" activePane="bottomLeft" state="frozen"/>
      <selection pane="topLeft" activeCell="A1" sqref="A1"/>
      <selection pane="bottomLeft" activeCell="C26" sqref="C26"/>
    </sheetView>
  </sheetViews>
  <sheetFormatPr defaultColWidth="9.00390625" defaultRowHeight="12.75"/>
  <cols>
    <col min="1" max="1" width="5.625" style="5" customWidth="1"/>
    <col min="2" max="2" width="6.375" style="5" customWidth="1"/>
    <col min="3" max="3" width="39.00390625" style="5" customWidth="1"/>
    <col min="4" max="4" width="10.50390625" style="5" customWidth="1"/>
    <col min="5" max="5" width="9.875" style="5" customWidth="1"/>
    <col min="6" max="6" width="10.50390625" style="5" customWidth="1"/>
    <col min="7" max="7" width="9.875" style="5" customWidth="1"/>
    <col min="8" max="8" width="10.625" style="5" customWidth="1"/>
    <col min="9" max="9" width="11.375" style="5" customWidth="1"/>
    <col min="10" max="10" width="8.50390625" style="5" customWidth="1"/>
    <col min="11" max="11" width="10.125" style="5" customWidth="1"/>
    <col min="12" max="12" width="9.625" style="5" customWidth="1"/>
    <col min="13" max="14" width="11.00390625" style="5" customWidth="1"/>
    <col min="15" max="15" width="11.875" style="5" customWidth="1"/>
    <col min="16" max="16384" width="9.375" style="5" customWidth="1"/>
  </cols>
  <sheetData>
    <row r="1" spans="1:15" s="3" customFormat="1" ht="16.5" customHeight="1">
      <c r="A1" s="1"/>
      <c r="B1" s="2"/>
      <c r="C1" s="6"/>
      <c r="D1" s="857" t="s">
        <v>184</v>
      </c>
      <c r="E1" s="858"/>
      <c r="F1" s="6"/>
      <c r="G1" s="859" t="s">
        <v>186</v>
      </c>
      <c r="H1" s="860"/>
      <c r="I1" s="6"/>
      <c r="J1" s="14" t="s">
        <v>246</v>
      </c>
      <c r="K1" s="15"/>
      <c r="L1" s="16"/>
      <c r="M1" s="6"/>
      <c r="N1" s="6"/>
      <c r="O1" s="7"/>
    </row>
    <row r="2" spans="1:15" s="3" customFormat="1" ht="49.5" customHeight="1" thickBot="1">
      <c r="A2" s="9" t="s">
        <v>182</v>
      </c>
      <c r="B2" s="10" t="s">
        <v>183</v>
      </c>
      <c r="C2" s="17" t="s">
        <v>181</v>
      </c>
      <c r="D2" s="10" t="s">
        <v>244</v>
      </c>
      <c r="E2" s="10" t="s">
        <v>245</v>
      </c>
      <c r="F2" s="10" t="s">
        <v>185</v>
      </c>
      <c r="G2" s="10" t="s">
        <v>244</v>
      </c>
      <c r="H2" s="10" t="s">
        <v>245</v>
      </c>
      <c r="I2" s="10" t="s">
        <v>187</v>
      </c>
      <c r="J2" s="18" t="s">
        <v>188</v>
      </c>
      <c r="K2" s="18" t="s">
        <v>189</v>
      </c>
      <c r="L2" s="10" t="s">
        <v>190</v>
      </c>
      <c r="M2" s="10" t="s">
        <v>191</v>
      </c>
      <c r="N2" s="10" t="s">
        <v>192</v>
      </c>
      <c r="O2" s="19" t="s">
        <v>193</v>
      </c>
    </row>
    <row r="3" spans="1:15" s="3" customFormat="1" ht="12.75" customHeight="1">
      <c r="A3" s="11">
        <v>1</v>
      </c>
      <c r="B3" s="11"/>
      <c r="C3" s="20" t="s">
        <v>605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28"/>
    </row>
    <row r="4" spans="1:15" s="3" customFormat="1" ht="15" customHeight="1">
      <c r="A4" s="478"/>
      <c r="B4" s="111">
        <v>12</v>
      </c>
      <c r="C4" s="480" t="s">
        <v>492</v>
      </c>
      <c r="D4" s="264"/>
      <c r="E4" s="264"/>
      <c r="F4" s="264"/>
      <c r="G4" s="479"/>
      <c r="H4" s="479"/>
      <c r="I4" s="479"/>
      <c r="J4" s="479"/>
      <c r="K4" s="479"/>
      <c r="L4" s="479"/>
      <c r="M4" s="479"/>
      <c r="N4" s="479"/>
      <c r="O4" s="479"/>
    </row>
    <row r="5" spans="1:15" s="3" customFormat="1" ht="15" customHeight="1">
      <c r="A5" s="478"/>
      <c r="B5" s="111"/>
      <c r="C5" s="492" t="s">
        <v>556</v>
      </c>
      <c r="D5" s="265"/>
      <c r="E5" s="265"/>
      <c r="F5" s="265"/>
      <c r="G5" s="344"/>
      <c r="H5" s="344"/>
      <c r="I5" s="344"/>
      <c r="J5" s="344"/>
      <c r="K5" s="265">
        <v>18</v>
      </c>
      <c r="L5" s="344"/>
      <c r="M5" s="344"/>
      <c r="N5" s="344"/>
      <c r="O5" s="265">
        <f>SUM(D5:N5)</f>
        <v>18</v>
      </c>
    </row>
    <row r="6" spans="1:15" s="3" customFormat="1" ht="24.75" customHeight="1">
      <c r="A6" s="478"/>
      <c r="B6" s="111"/>
      <c r="C6" s="427" t="s">
        <v>1214</v>
      </c>
      <c r="D6" s="737"/>
      <c r="E6" s="265"/>
      <c r="F6" s="265"/>
      <c r="G6" s="344"/>
      <c r="H6" s="344"/>
      <c r="I6" s="344"/>
      <c r="J6" s="344"/>
      <c r="K6" s="265">
        <v>903</v>
      </c>
      <c r="L6" s="344"/>
      <c r="M6" s="344"/>
      <c r="N6" s="344"/>
      <c r="O6" s="265">
        <f>SUM(D6:N6)</f>
        <v>903</v>
      </c>
    </row>
    <row r="7" spans="1:15" s="3" customFormat="1" ht="15" customHeight="1">
      <c r="A7" s="478"/>
      <c r="B7" s="111"/>
      <c r="C7" s="493" t="s">
        <v>557</v>
      </c>
      <c r="D7" s="265"/>
      <c r="E7" s="265"/>
      <c r="F7" s="265"/>
      <c r="G7" s="344"/>
      <c r="H7" s="344"/>
      <c r="I7" s="344"/>
      <c r="J7" s="344"/>
      <c r="K7" s="265">
        <v>1188</v>
      </c>
      <c r="L7" s="344"/>
      <c r="M7" s="344"/>
      <c r="N7" s="344"/>
      <c r="O7" s="265">
        <f>SUM(D7:N7)</f>
        <v>1188</v>
      </c>
    </row>
    <row r="8" spans="1:15" s="3" customFormat="1" ht="15" customHeight="1">
      <c r="A8" s="13"/>
      <c r="B8" s="13"/>
      <c r="C8" s="481" t="s">
        <v>684</v>
      </c>
      <c r="D8" s="491">
        <f aca="true" t="shared" si="0" ref="D8:O8">SUM(D5:D7)</f>
        <v>0</v>
      </c>
      <c r="E8" s="491">
        <f t="shared" si="0"/>
        <v>0</v>
      </c>
      <c r="F8" s="491">
        <f t="shared" si="0"/>
        <v>0</v>
      </c>
      <c r="G8" s="491">
        <f t="shared" si="0"/>
        <v>0</v>
      </c>
      <c r="H8" s="491">
        <f t="shared" si="0"/>
        <v>0</v>
      </c>
      <c r="I8" s="491">
        <f t="shared" si="0"/>
        <v>0</v>
      </c>
      <c r="J8" s="491">
        <f t="shared" si="0"/>
        <v>0</v>
      </c>
      <c r="K8" s="491">
        <f t="shared" si="0"/>
        <v>2109</v>
      </c>
      <c r="L8" s="491">
        <f t="shared" si="0"/>
        <v>0</v>
      </c>
      <c r="M8" s="491">
        <f t="shared" si="0"/>
        <v>0</v>
      </c>
      <c r="N8" s="491">
        <f t="shared" si="0"/>
        <v>0</v>
      </c>
      <c r="O8" s="491">
        <f t="shared" si="0"/>
        <v>2109</v>
      </c>
    </row>
    <row r="9" spans="1:15" s="4" customFormat="1" ht="13.5" customHeight="1">
      <c r="A9" s="225">
        <v>1</v>
      </c>
      <c r="B9" s="225">
        <v>13</v>
      </c>
      <c r="C9" s="226" t="s">
        <v>703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65">
        <f>SUM(D9:N9)</f>
        <v>0</v>
      </c>
    </row>
    <row r="10" spans="1:15" s="4" customFormat="1" ht="24.75" customHeight="1">
      <c r="A10" s="225"/>
      <c r="B10" s="225"/>
      <c r="C10" s="862" t="s">
        <v>591</v>
      </c>
      <c r="D10" s="863"/>
      <c r="E10" s="227"/>
      <c r="F10" s="227"/>
      <c r="G10" s="227"/>
      <c r="H10" s="227"/>
      <c r="I10" s="227"/>
      <c r="J10" s="227"/>
      <c r="K10" s="228"/>
      <c r="L10" s="227"/>
      <c r="M10" s="227"/>
      <c r="N10" s="227"/>
      <c r="O10" s="265"/>
    </row>
    <row r="11" spans="1:15" s="4" customFormat="1" ht="13.5" customHeight="1">
      <c r="A11" s="225"/>
      <c r="B11" s="225"/>
      <c r="C11" s="48" t="s">
        <v>1218</v>
      </c>
      <c r="D11" s="533"/>
      <c r="E11" s="227"/>
      <c r="F11" s="227"/>
      <c r="G11" s="227"/>
      <c r="H11" s="227"/>
      <c r="I11" s="227"/>
      <c r="J11" s="227"/>
      <c r="K11" s="228">
        <v>500</v>
      </c>
      <c r="L11" s="227"/>
      <c r="M11" s="227"/>
      <c r="N11" s="227"/>
      <c r="O11" s="265">
        <v>500</v>
      </c>
    </row>
    <row r="12" spans="1:15" s="4" customFormat="1" ht="13.5" customHeight="1">
      <c r="A12" s="231"/>
      <c r="B12" s="231"/>
      <c r="C12" s="232" t="s">
        <v>704</v>
      </c>
      <c r="D12" s="233">
        <f>SUM(D9:D11)</f>
        <v>0</v>
      </c>
      <c r="E12" s="233">
        <f>SUM(E9:E11)</f>
        <v>0</v>
      </c>
      <c r="F12" s="233">
        <f>SUM(F9:F11)</f>
        <v>0</v>
      </c>
      <c r="G12" s="233">
        <f>SUM(G9:G11)</f>
        <v>0</v>
      </c>
      <c r="H12" s="233"/>
      <c r="I12" s="233">
        <f aca="true" t="shared" si="1" ref="I12:N12">SUM(I9:I11)</f>
        <v>0</v>
      </c>
      <c r="J12" s="233">
        <f t="shared" si="1"/>
        <v>0</v>
      </c>
      <c r="K12" s="233">
        <f t="shared" si="1"/>
        <v>500</v>
      </c>
      <c r="L12" s="233">
        <f t="shared" si="1"/>
        <v>0</v>
      </c>
      <c r="M12" s="233">
        <f t="shared" si="1"/>
        <v>0</v>
      </c>
      <c r="N12" s="233">
        <f t="shared" si="1"/>
        <v>0</v>
      </c>
      <c r="O12" s="323">
        <f>SUM(D12:N12)</f>
        <v>500</v>
      </c>
    </row>
    <row r="13" spans="1:15" s="4" customFormat="1" ht="13.5" customHeight="1">
      <c r="A13" s="396"/>
      <c r="B13" s="482">
        <v>14</v>
      </c>
      <c r="C13" s="483" t="s">
        <v>494</v>
      </c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484"/>
    </row>
    <row r="14" spans="1:15" s="4" customFormat="1" ht="24.75" customHeight="1">
      <c r="A14" s="396"/>
      <c r="B14" s="482"/>
      <c r="C14" s="758" t="s">
        <v>990</v>
      </c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484"/>
    </row>
    <row r="15" spans="1:15" s="4" customFormat="1" ht="24.75" customHeight="1">
      <c r="A15" s="396"/>
      <c r="B15" s="396"/>
      <c r="C15" s="541" t="s">
        <v>1215</v>
      </c>
      <c r="D15" s="541"/>
      <c r="E15" s="265"/>
      <c r="F15" s="265"/>
      <c r="G15" s="265"/>
      <c r="H15" s="265"/>
      <c r="I15" s="265"/>
      <c r="J15" s="265"/>
      <c r="K15" s="265"/>
      <c r="L15" s="265"/>
      <c r="M15" s="265">
        <v>29000</v>
      </c>
      <c r="N15" s="265"/>
      <c r="O15" s="265">
        <f>SUM(D15:N15)</f>
        <v>29000</v>
      </c>
    </row>
    <row r="16" spans="1:15" s="4" customFormat="1" ht="13.5" customHeight="1">
      <c r="A16" s="231"/>
      <c r="B16" s="231"/>
      <c r="C16" s="232" t="s">
        <v>435</v>
      </c>
      <c r="D16" s="233">
        <f>SUM(D15:D15)</f>
        <v>0</v>
      </c>
      <c r="E16" s="233"/>
      <c r="F16" s="233"/>
      <c r="G16" s="233"/>
      <c r="H16" s="233"/>
      <c r="I16" s="233"/>
      <c r="J16" s="233"/>
      <c r="K16" s="233"/>
      <c r="L16" s="233"/>
      <c r="M16" s="233">
        <f>SUM(M15)</f>
        <v>29000</v>
      </c>
      <c r="N16" s="233"/>
      <c r="O16" s="485">
        <f>SUM(D16:N16)</f>
        <v>29000</v>
      </c>
    </row>
    <row r="17" spans="1:15" s="3" customFormat="1" ht="16.5" customHeight="1">
      <c r="A17" s="225">
        <v>1</v>
      </c>
      <c r="B17" s="225">
        <v>15</v>
      </c>
      <c r="C17" s="226" t="s">
        <v>195</v>
      </c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65"/>
    </row>
    <row r="18" spans="1:15" s="3" customFormat="1" ht="15" customHeight="1">
      <c r="A18" s="225"/>
      <c r="B18" s="225"/>
      <c r="C18" s="740" t="s">
        <v>1137</v>
      </c>
      <c r="D18" s="535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65"/>
    </row>
    <row r="19" spans="1:15" s="3" customFormat="1" ht="24.75" customHeight="1">
      <c r="A19" s="225"/>
      <c r="B19" s="225"/>
      <c r="C19" s="740" t="s">
        <v>1138</v>
      </c>
      <c r="D19" s="690"/>
      <c r="E19" s="228"/>
      <c r="F19" s="228"/>
      <c r="G19" s="228"/>
      <c r="H19" s="228">
        <v>250</v>
      </c>
      <c r="I19" s="228"/>
      <c r="J19" s="228"/>
      <c r="K19" s="228"/>
      <c r="L19" s="228"/>
      <c r="M19" s="228"/>
      <c r="N19" s="228"/>
      <c r="O19" s="265">
        <f>SUM(D19:N19)</f>
        <v>250</v>
      </c>
    </row>
    <row r="20" spans="1:15" s="3" customFormat="1" ht="15" customHeight="1">
      <c r="A20" s="225"/>
      <c r="B20" s="225"/>
      <c r="C20" s="759" t="s">
        <v>723</v>
      </c>
      <c r="D20" s="477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65"/>
    </row>
    <row r="21" spans="1:15" s="3" customFormat="1" ht="24.75" customHeight="1">
      <c r="A21" s="225"/>
      <c r="B21" s="225"/>
      <c r="C21" s="740" t="s">
        <v>724</v>
      </c>
      <c r="D21" s="690"/>
      <c r="E21" s="228"/>
      <c r="F21" s="228"/>
      <c r="G21" s="228"/>
      <c r="H21" s="228">
        <v>404</v>
      </c>
      <c r="I21" s="228"/>
      <c r="J21" s="228"/>
      <c r="K21" s="228"/>
      <c r="L21" s="228"/>
      <c r="M21" s="228"/>
      <c r="N21" s="228"/>
      <c r="O21" s="265">
        <f>SUM(D21:N21)</f>
        <v>404</v>
      </c>
    </row>
    <row r="22" spans="1:15" s="3" customFormat="1" ht="24.75" customHeight="1">
      <c r="A22" s="225"/>
      <c r="B22" s="225"/>
      <c r="C22" s="760" t="s">
        <v>721</v>
      </c>
      <c r="D22" s="477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65"/>
    </row>
    <row r="23" spans="1:15" s="3" customFormat="1" ht="24.75" customHeight="1">
      <c r="A23" s="225"/>
      <c r="B23" s="225"/>
      <c r="C23" s="740" t="s">
        <v>728</v>
      </c>
      <c r="D23" s="690">
        <v>12567</v>
      </c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65">
        <f>SUM(D23:N23)</f>
        <v>12567</v>
      </c>
    </row>
    <row r="24" spans="1:15" s="3" customFormat="1" ht="24.75" customHeight="1">
      <c r="A24" s="225"/>
      <c r="B24" s="225"/>
      <c r="C24" s="740" t="s">
        <v>733</v>
      </c>
      <c r="D24" s="690"/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65"/>
    </row>
    <row r="25" spans="1:15" s="3" customFormat="1" ht="24.75" customHeight="1">
      <c r="A25" s="225"/>
      <c r="B25" s="225"/>
      <c r="C25" s="743" t="s">
        <v>734</v>
      </c>
      <c r="D25" s="690"/>
      <c r="E25" s="228"/>
      <c r="F25" s="228"/>
      <c r="G25" s="228"/>
      <c r="H25" s="228"/>
      <c r="I25" s="228"/>
      <c r="J25" s="228"/>
      <c r="K25" s="228"/>
      <c r="L25" s="228">
        <v>53211</v>
      </c>
      <c r="M25" s="228"/>
      <c r="N25" s="228"/>
      <c r="O25" s="265">
        <f>SUM(D25:N25)</f>
        <v>53211</v>
      </c>
    </row>
    <row r="26" spans="1:15" s="3" customFormat="1" ht="24.75" customHeight="1">
      <c r="A26" s="225"/>
      <c r="B26" s="225"/>
      <c r="C26" s="740" t="s">
        <v>461</v>
      </c>
      <c r="D26" s="690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65"/>
    </row>
    <row r="27" spans="1:15" s="3" customFormat="1" ht="24.75" customHeight="1">
      <c r="A27" s="225"/>
      <c r="B27" s="225"/>
      <c r="C27" s="740" t="s">
        <v>727</v>
      </c>
      <c r="D27" s="690">
        <v>40</v>
      </c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65">
        <f>SUM(D27:N27)</f>
        <v>40</v>
      </c>
    </row>
    <row r="28" spans="1:15" s="3" customFormat="1" ht="24.75" customHeight="1">
      <c r="A28" s="225"/>
      <c r="B28" s="225"/>
      <c r="C28" s="740" t="s">
        <v>1139</v>
      </c>
      <c r="D28" s="690"/>
      <c r="E28" s="228"/>
      <c r="F28" s="228"/>
      <c r="G28" s="228"/>
      <c r="H28" s="228">
        <v>300</v>
      </c>
      <c r="I28" s="228"/>
      <c r="J28" s="228"/>
      <c r="K28" s="228"/>
      <c r="L28" s="228"/>
      <c r="M28" s="228"/>
      <c r="N28" s="228"/>
      <c r="O28" s="265">
        <f>SUM(D28:N28)</f>
        <v>300</v>
      </c>
    </row>
    <row r="29" spans="1:15" s="3" customFormat="1" ht="12.75" customHeight="1">
      <c r="A29" s="12"/>
      <c r="B29" s="12"/>
      <c r="C29" s="23" t="s">
        <v>196</v>
      </c>
      <c r="D29" s="24">
        <f aca="true" t="shared" si="2" ref="D29:O29">SUM(D17:D28)</f>
        <v>12607</v>
      </c>
      <c r="E29" s="24">
        <f t="shared" si="2"/>
        <v>0</v>
      </c>
      <c r="F29" s="24">
        <f t="shared" si="2"/>
        <v>0</v>
      </c>
      <c r="G29" s="24">
        <f t="shared" si="2"/>
        <v>0</v>
      </c>
      <c r="H29" s="24">
        <f t="shared" si="2"/>
        <v>954</v>
      </c>
      <c r="I29" s="24">
        <f t="shared" si="2"/>
        <v>0</v>
      </c>
      <c r="J29" s="24">
        <f t="shared" si="2"/>
        <v>0</v>
      </c>
      <c r="K29" s="24">
        <f t="shared" si="2"/>
        <v>0</v>
      </c>
      <c r="L29" s="24">
        <f t="shared" si="2"/>
        <v>53211</v>
      </c>
      <c r="M29" s="24">
        <f t="shared" si="2"/>
        <v>0</v>
      </c>
      <c r="N29" s="24">
        <f t="shared" si="2"/>
        <v>0</v>
      </c>
      <c r="O29" s="24">
        <f t="shared" si="2"/>
        <v>66772</v>
      </c>
    </row>
    <row r="30" spans="1:15" s="3" customFormat="1" ht="12.75" customHeight="1">
      <c r="A30" s="11">
        <v>1</v>
      </c>
      <c r="B30" s="11">
        <v>16</v>
      </c>
      <c r="C30" s="20" t="s">
        <v>701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8"/>
    </row>
    <row r="31" spans="1:15" s="3" customFormat="1" ht="12.75" customHeight="1">
      <c r="A31" s="11"/>
      <c r="B31" s="11"/>
      <c r="C31" s="21" t="s">
        <v>1140</v>
      </c>
      <c r="D31" s="739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28"/>
    </row>
    <row r="32" spans="1:15" s="3" customFormat="1" ht="37.5" customHeight="1">
      <c r="A32" s="11"/>
      <c r="B32" s="11"/>
      <c r="C32" s="341" t="s">
        <v>266</v>
      </c>
      <c r="D32" s="739"/>
      <c r="E32" s="25"/>
      <c r="F32" s="25"/>
      <c r="G32" s="25"/>
      <c r="H32" s="25"/>
      <c r="I32" s="25"/>
      <c r="J32" s="25"/>
      <c r="K32" s="25"/>
      <c r="L32" s="25">
        <v>-1472</v>
      </c>
      <c r="M32" s="25"/>
      <c r="N32" s="25"/>
      <c r="O32" s="228">
        <f>SUM(E32:N32)</f>
        <v>-1472</v>
      </c>
    </row>
    <row r="33" spans="1:15" s="3" customFormat="1" ht="36" customHeight="1">
      <c r="A33" s="11"/>
      <c r="B33" s="11"/>
      <c r="C33" s="26" t="s">
        <v>1141</v>
      </c>
      <c r="D33" s="739"/>
      <c r="E33" s="25"/>
      <c r="F33" s="25"/>
      <c r="G33" s="25"/>
      <c r="H33" s="25"/>
      <c r="I33" s="25"/>
      <c r="J33" s="25"/>
      <c r="K33" s="25"/>
      <c r="L33" s="25">
        <v>-34372</v>
      </c>
      <c r="M33" s="25"/>
      <c r="N33" s="25"/>
      <c r="O33" s="228">
        <f>SUM(E33:N33)</f>
        <v>-34372</v>
      </c>
    </row>
    <row r="34" spans="1:15" s="3" customFormat="1" ht="36" customHeight="1">
      <c r="A34" s="11"/>
      <c r="B34" s="11"/>
      <c r="C34" s="738" t="s">
        <v>1142</v>
      </c>
      <c r="D34" s="739"/>
      <c r="E34" s="25"/>
      <c r="F34" s="25"/>
      <c r="G34" s="25"/>
      <c r="H34" s="25"/>
      <c r="I34" s="25"/>
      <c r="J34" s="25"/>
      <c r="K34" s="25"/>
      <c r="L34" s="25">
        <v>177468</v>
      </c>
      <c r="M34" s="25"/>
      <c r="N34" s="25"/>
      <c r="O34" s="228">
        <f>SUM(E34:N34)</f>
        <v>177468</v>
      </c>
    </row>
    <row r="35" spans="1:15" s="3" customFormat="1" ht="12.75" customHeight="1">
      <c r="A35" s="11"/>
      <c r="B35" s="11"/>
      <c r="C35" s="740" t="s">
        <v>1143</v>
      </c>
      <c r="D35" s="739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28"/>
    </row>
    <row r="36" spans="1:15" s="3" customFormat="1" ht="24.75" customHeight="1">
      <c r="A36" s="11"/>
      <c r="B36" s="11"/>
      <c r="C36" s="740" t="s">
        <v>1144</v>
      </c>
      <c r="D36" s="739"/>
      <c r="E36" s="25"/>
      <c r="F36" s="25"/>
      <c r="G36" s="25"/>
      <c r="H36" s="25"/>
      <c r="I36" s="25"/>
      <c r="J36" s="25"/>
      <c r="K36" s="25"/>
      <c r="L36" s="25">
        <v>79778</v>
      </c>
      <c r="M36" s="25"/>
      <c r="N36" s="25"/>
      <c r="O36" s="228">
        <f>SUM(E36:N36)</f>
        <v>79778</v>
      </c>
    </row>
    <row r="37" spans="1:15" s="3" customFormat="1" ht="15" customHeight="1">
      <c r="A37" s="231"/>
      <c r="B37" s="231"/>
      <c r="C37" s="232" t="s">
        <v>447</v>
      </c>
      <c r="D37" s="233">
        <f aca="true" t="shared" si="3" ref="D37:O37">SUM(D30:D36)</f>
        <v>0</v>
      </c>
      <c r="E37" s="233">
        <f t="shared" si="3"/>
        <v>0</v>
      </c>
      <c r="F37" s="233">
        <f t="shared" si="3"/>
        <v>0</v>
      </c>
      <c r="G37" s="233">
        <f t="shared" si="3"/>
        <v>0</v>
      </c>
      <c r="H37" s="233">
        <f t="shared" si="3"/>
        <v>0</v>
      </c>
      <c r="I37" s="233">
        <f t="shared" si="3"/>
        <v>0</v>
      </c>
      <c r="J37" s="233">
        <f t="shared" si="3"/>
        <v>0</v>
      </c>
      <c r="K37" s="233">
        <f t="shared" si="3"/>
        <v>0</v>
      </c>
      <c r="L37" s="233">
        <f t="shared" si="3"/>
        <v>221402</v>
      </c>
      <c r="M37" s="233">
        <f t="shared" si="3"/>
        <v>0</v>
      </c>
      <c r="N37" s="233">
        <f t="shared" si="3"/>
        <v>0</v>
      </c>
      <c r="O37" s="233">
        <f t="shared" si="3"/>
        <v>221402</v>
      </c>
    </row>
    <row r="38" spans="1:15" s="3" customFormat="1" ht="15" customHeight="1">
      <c r="A38" s="11">
        <v>1</v>
      </c>
      <c r="B38" s="11">
        <v>17</v>
      </c>
      <c r="C38" s="20" t="s">
        <v>197</v>
      </c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</row>
    <row r="39" spans="1:15" s="3" customFormat="1" ht="15" customHeight="1">
      <c r="A39" s="396"/>
      <c r="B39" s="396"/>
      <c r="C39" s="741" t="s">
        <v>1145</v>
      </c>
      <c r="D39" s="53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28">
        <f>SUM(D39:N39)</f>
        <v>0</v>
      </c>
    </row>
    <row r="40" spans="1:15" s="3" customFormat="1" ht="15" customHeight="1">
      <c r="A40" s="396"/>
      <c r="B40" s="396"/>
      <c r="C40" s="743" t="s">
        <v>1146</v>
      </c>
      <c r="D40" s="534"/>
      <c r="E40" s="25"/>
      <c r="F40" s="25"/>
      <c r="G40" s="25">
        <v>12500</v>
      </c>
      <c r="H40" s="25"/>
      <c r="I40" s="25"/>
      <c r="J40" s="25"/>
      <c r="K40" s="25"/>
      <c r="L40" s="25"/>
      <c r="M40" s="25"/>
      <c r="N40" s="25"/>
      <c r="O40" s="228">
        <f>SUM(D40:N40)</f>
        <v>12500</v>
      </c>
    </row>
    <row r="41" spans="1:15" s="3" customFormat="1" ht="15" customHeight="1">
      <c r="A41" s="396"/>
      <c r="B41" s="396"/>
      <c r="C41" s="744" t="s">
        <v>1147</v>
      </c>
      <c r="D41" s="53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28"/>
    </row>
    <row r="42" spans="1:15" s="3" customFormat="1" ht="15" customHeight="1">
      <c r="A42" s="396"/>
      <c r="B42" s="396"/>
      <c r="C42" s="864" t="s">
        <v>992</v>
      </c>
      <c r="D42" s="86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28"/>
    </row>
    <row r="43" spans="1:15" s="3" customFormat="1" ht="15" customHeight="1">
      <c r="A43" s="396"/>
      <c r="B43" s="396"/>
      <c r="C43" s="750" t="s">
        <v>731</v>
      </c>
      <c r="D43" s="534">
        <v>16433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28">
        <f>SUM(D43:N43)</f>
        <v>16433</v>
      </c>
    </row>
    <row r="44" spans="1:15" s="3" customFormat="1" ht="15" customHeight="1">
      <c r="A44" s="396"/>
      <c r="B44" s="396"/>
      <c r="C44" s="26" t="s">
        <v>1148</v>
      </c>
      <c r="D44" s="534"/>
      <c r="E44" s="25"/>
      <c r="F44" s="25"/>
      <c r="G44" s="25"/>
      <c r="H44" s="25"/>
      <c r="I44" s="25"/>
      <c r="J44" s="25"/>
      <c r="K44" s="25"/>
      <c r="L44" s="25"/>
      <c r="M44" s="25"/>
      <c r="N44" s="25">
        <v>84217</v>
      </c>
      <c r="O44" s="228">
        <f>SUM(D44:N44)</f>
        <v>84217</v>
      </c>
    </row>
    <row r="45" spans="1:15" s="3" customFormat="1" ht="15" customHeight="1">
      <c r="A45" s="396"/>
      <c r="B45" s="396"/>
      <c r="C45" s="742" t="s">
        <v>1149</v>
      </c>
      <c r="D45" s="534"/>
      <c r="E45" s="25"/>
      <c r="F45" s="25"/>
      <c r="G45" s="25"/>
      <c r="H45" s="25"/>
      <c r="I45" s="25"/>
      <c r="J45" s="25"/>
      <c r="K45" s="25"/>
      <c r="L45" s="25"/>
      <c r="M45" s="25"/>
      <c r="N45" s="25">
        <v>-48964</v>
      </c>
      <c r="O45" s="228">
        <f>SUM(D45:N45)</f>
        <v>-48964</v>
      </c>
    </row>
    <row r="46" spans="1:15" s="3" customFormat="1" ht="15" customHeight="1">
      <c r="A46" s="231"/>
      <c r="B46" s="231"/>
      <c r="C46" s="23" t="s">
        <v>250</v>
      </c>
      <c r="D46" s="233">
        <f aca="true" t="shared" si="4" ref="D46:O46">SUM(D39:D45)</f>
        <v>16433</v>
      </c>
      <c r="E46" s="233">
        <f t="shared" si="4"/>
        <v>0</v>
      </c>
      <c r="F46" s="233">
        <f t="shared" si="4"/>
        <v>0</v>
      </c>
      <c r="G46" s="233">
        <f t="shared" si="4"/>
        <v>12500</v>
      </c>
      <c r="H46" s="233">
        <f t="shared" si="4"/>
        <v>0</v>
      </c>
      <c r="I46" s="233">
        <f t="shared" si="4"/>
        <v>0</v>
      </c>
      <c r="J46" s="233">
        <f t="shared" si="4"/>
        <v>0</v>
      </c>
      <c r="K46" s="233">
        <f t="shared" si="4"/>
        <v>0</v>
      </c>
      <c r="L46" s="233">
        <f t="shared" si="4"/>
        <v>0</v>
      </c>
      <c r="M46" s="233">
        <f t="shared" si="4"/>
        <v>0</v>
      </c>
      <c r="N46" s="233">
        <f t="shared" si="4"/>
        <v>35253</v>
      </c>
      <c r="O46" s="233">
        <f t="shared" si="4"/>
        <v>64186</v>
      </c>
    </row>
    <row r="47" spans="1:15" ht="15" customHeight="1">
      <c r="A47" s="11">
        <v>1</v>
      </c>
      <c r="B47" s="11">
        <v>18</v>
      </c>
      <c r="C47" s="229" t="s">
        <v>699</v>
      </c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</row>
    <row r="48" spans="1:15" ht="15" customHeight="1">
      <c r="A48" s="11"/>
      <c r="B48" s="11"/>
      <c r="C48" s="855"/>
      <c r="D48" s="856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265">
        <f>SUM(D48:N48)</f>
        <v>0</v>
      </c>
    </row>
    <row r="49" spans="1:15" s="3" customFormat="1" ht="18" customHeight="1">
      <c r="A49" s="289"/>
      <c r="B49" s="289"/>
      <c r="C49" s="143" t="s">
        <v>700</v>
      </c>
      <c r="D49" s="246">
        <f aca="true" t="shared" si="5" ref="D49:O49">SUM(D48:D48)</f>
        <v>0</v>
      </c>
      <c r="E49" s="246">
        <f t="shared" si="5"/>
        <v>0</v>
      </c>
      <c r="F49" s="246">
        <f t="shared" si="5"/>
        <v>0</v>
      </c>
      <c r="G49" s="246">
        <f t="shared" si="5"/>
        <v>0</v>
      </c>
      <c r="H49" s="246">
        <f t="shared" si="5"/>
        <v>0</v>
      </c>
      <c r="I49" s="246">
        <f t="shared" si="5"/>
        <v>0</v>
      </c>
      <c r="J49" s="246">
        <f t="shared" si="5"/>
        <v>0</v>
      </c>
      <c r="K49" s="246">
        <f t="shared" si="5"/>
        <v>0</v>
      </c>
      <c r="L49" s="246">
        <f t="shared" si="5"/>
        <v>0</v>
      </c>
      <c r="M49" s="246">
        <f t="shared" si="5"/>
        <v>0</v>
      </c>
      <c r="N49" s="246">
        <f t="shared" si="5"/>
        <v>0</v>
      </c>
      <c r="O49" s="246">
        <f t="shared" si="5"/>
        <v>0</v>
      </c>
    </row>
    <row r="50" spans="1:15" s="3" customFormat="1" ht="15" customHeight="1">
      <c r="A50" s="11">
        <v>1</v>
      </c>
      <c r="B50" s="11">
        <v>19</v>
      </c>
      <c r="C50" s="20" t="s">
        <v>198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8"/>
    </row>
    <row r="51" spans="1:15" s="3" customFormat="1" ht="24" customHeight="1">
      <c r="A51" s="11"/>
      <c r="B51" s="11"/>
      <c r="C51" s="26" t="s">
        <v>999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8"/>
    </row>
    <row r="52" spans="1:15" s="3" customFormat="1" ht="15" customHeight="1">
      <c r="A52" s="11"/>
      <c r="B52" s="11"/>
      <c r="C52" s="21" t="s">
        <v>945</v>
      </c>
      <c r="D52" s="22"/>
      <c r="E52" s="22"/>
      <c r="F52" s="22"/>
      <c r="G52" s="22"/>
      <c r="H52" s="22"/>
      <c r="I52" s="22">
        <v>52918</v>
      </c>
      <c r="J52" s="22"/>
      <c r="K52" s="22"/>
      <c r="L52" s="22"/>
      <c r="M52" s="22"/>
      <c r="N52" s="22"/>
      <c r="O52" s="228">
        <f>SUM(D52:N52)</f>
        <v>52918</v>
      </c>
    </row>
    <row r="53" spans="1:15" s="3" customFormat="1" ht="15" customHeight="1">
      <c r="A53" s="11"/>
      <c r="B53" s="11"/>
      <c r="C53" s="21" t="s">
        <v>429</v>
      </c>
      <c r="D53" s="22"/>
      <c r="E53" s="22"/>
      <c r="F53" s="22"/>
      <c r="G53" s="22"/>
      <c r="H53" s="22"/>
      <c r="I53" s="22">
        <v>26124</v>
      </c>
      <c r="J53" s="22"/>
      <c r="K53" s="22"/>
      <c r="L53" s="22"/>
      <c r="M53" s="22"/>
      <c r="N53" s="22"/>
      <c r="O53" s="228">
        <f>SUM(D53:N53)</f>
        <v>26124</v>
      </c>
    </row>
    <row r="54" spans="1:15" s="3" customFormat="1" ht="15" customHeight="1">
      <c r="A54" s="11"/>
      <c r="B54" s="11"/>
      <c r="C54" s="21" t="s">
        <v>1150</v>
      </c>
      <c r="D54" s="22"/>
      <c r="E54" s="22"/>
      <c r="F54" s="22"/>
      <c r="G54" s="22"/>
      <c r="H54" s="22"/>
      <c r="I54" s="22">
        <v>86080</v>
      </c>
      <c r="J54" s="22"/>
      <c r="K54" s="22"/>
      <c r="L54" s="22"/>
      <c r="M54" s="22"/>
      <c r="N54" s="22"/>
      <c r="O54" s="228">
        <f>SUM(D54:N54)</f>
        <v>86080</v>
      </c>
    </row>
    <row r="55" spans="1:15" s="3" customFormat="1" ht="15" customHeight="1">
      <c r="A55" s="11"/>
      <c r="B55" s="11"/>
      <c r="C55" s="21" t="s">
        <v>1151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>
        <v>297226</v>
      </c>
      <c r="O55" s="228">
        <f>SUM(D55:N55)</f>
        <v>297226</v>
      </c>
    </row>
    <row r="56" spans="1:15" s="3" customFormat="1" ht="24.75" customHeight="1">
      <c r="A56" s="11"/>
      <c r="B56" s="11"/>
      <c r="C56" s="26" t="s">
        <v>440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>
        <v>-62613</v>
      </c>
      <c r="O56" s="228">
        <f>SUM(N56)</f>
        <v>-62613</v>
      </c>
    </row>
    <row r="57" spans="1:15" s="3" customFormat="1" ht="15" customHeight="1">
      <c r="A57" s="11"/>
      <c r="B57" s="11"/>
      <c r="C57" s="786" t="s">
        <v>478</v>
      </c>
      <c r="D57" s="739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8"/>
    </row>
    <row r="58" spans="1:15" s="3" customFormat="1" ht="24.75" customHeight="1">
      <c r="A58" s="11"/>
      <c r="B58" s="11"/>
      <c r="C58" s="787" t="s">
        <v>479</v>
      </c>
      <c r="D58" s="739"/>
      <c r="E58" s="22"/>
      <c r="F58" s="22"/>
      <c r="G58" s="22"/>
      <c r="H58" s="22"/>
      <c r="I58" s="22"/>
      <c r="J58" s="22"/>
      <c r="K58" s="22"/>
      <c r="L58" s="22"/>
      <c r="M58" s="22">
        <v>1030</v>
      </c>
      <c r="N58" s="22"/>
      <c r="O58" s="228">
        <v>1030</v>
      </c>
    </row>
    <row r="59" spans="1:15" s="3" customFormat="1" ht="24.75" customHeight="1">
      <c r="A59" s="11"/>
      <c r="B59" s="11"/>
      <c r="C59" s="427" t="s">
        <v>27</v>
      </c>
      <c r="D59" s="739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8"/>
    </row>
    <row r="60" spans="1:15" s="3" customFormat="1" ht="24.75" customHeight="1">
      <c r="A60" s="11"/>
      <c r="B60" s="11"/>
      <c r="C60" s="48" t="s">
        <v>28</v>
      </c>
      <c r="D60" s="739"/>
      <c r="E60" s="22">
        <v>19362</v>
      </c>
      <c r="F60" s="22"/>
      <c r="G60" s="22"/>
      <c r="H60" s="22"/>
      <c r="I60" s="22"/>
      <c r="J60" s="22"/>
      <c r="K60" s="22">
        <v>-19362</v>
      </c>
      <c r="L60" s="22"/>
      <c r="M60" s="22"/>
      <c r="N60" s="22"/>
      <c r="O60" s="228">
        <f>SUM(E60:N60)</f>
        <v>0</v>
      </c>
    </row>
    <row r="61" spans="1:15" s="3" customFormat="1" ht="24.75" customHeight="1">
      <c r="A61" s="11"/>
      <c r="B61" s="11"/>
      <c r="C61" s="26" t="s">
        <v>1152</v>
      </c>
      <c r="D61" s="739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8"/>
    </row>
    <row r="62" spans="1:15" s="3" customFormat="1" ht="24.75" customHeight="1">
      <c r="A62" s="11"/>
      <c r="B62" s="11"/>
      <c r="C62" s="740" t="s">
        <v>15</v>
      </c>
      <c r="D62" s="739">
        <v>192</v>
      </c>
      <c r="E62" s="22"/>
      <c r="F62" s="22"/>
      <c r="G62" s="22"/>
      <c r="H62" s="22"/>
      <c r="I62" s="22"/>
      <c r="J62" s="22"/>
      <c r="K62" s="22">
        <v>3523</v>
      </c>
      <c r="L62" s="22"/>
      <c r="M62" s="22"/>
      <c r="N62" s="22"/>
      <c r="O62" s="228">
        <f>SUM(D62:N62)</f>
        <v>3715</v>
      </c>
    </row>
    <row r="63" spans="1:16" s="3" customFormat="1" ht="15" customHeight="1">
      <c r="A63" s="11"/>
      <c r="B63" s="11"/>
      <c r="C63" s="21" t="s">
        <v>1153</v>
      </c>
      <c r="D63" s="739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8">
        <f>SUM(D63:N63)</f>
        <v>0</v>
      </c>
      <c r="P63" s="692"/>
    </row>
    <row r="64" spans="1:15" s="3" customFormat="1" ht="15" customHeight="1">
      <c r="A64" s="11"/>
      <c r="B64" s="11"/>
      <c r="C64" s="745" t="s">
        <v>890</v>
      </c>
      <c r="D64" s="739">
        <v>95685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8">
        <f>SUM(D64:N64)</f>
        <v>95685</v>
      </c>
    </row>
    <row r="65" spans="1:15" s="3" customFormat="1" ht="15" customHeight="1">
      <c r="A65" s="13"/>
      <c r="B65" s="12"/>
      <c r="C65" s="23" t="s">
        <v>199</v>
      </c>
      <c r="D65" s="24">
        <f>SUM(D50:D64)</f>
        <v>95877</v>
      </c>
      <c r="E65" s="24">
        <f>SUM(E50:E64)</f>
        <v>19362</v>
      </c>
      <c r="F65" s="24">
        <f>SUM(F50:F64)</f>
        <v>0</v>
      </c>
      <c r="G65" s="24">
        <f>SUM(G50:G64)</f>
        <v>0</v>
      </c>
      <c r="H65" s="24"/>
      <c r="I65" s="24">
        <f aca="true" t="shared" si="6" ref="I65:O65">SUM(I50:I64)</f>
        <v>165122</v>
      </c>
      <c r="J65" s="24">
        <f t="shared" si="6"/>
        <v>0</v>
      </c>
      <c r="K65" s="24">
        <f t="shared" si="6"/>
        <v>-15839</v>
      </c>
      <c r="L65" s="24">
        <f t="shared" si="6"/>
        <v>0</v>
      </c>
      <c r="M65" s="24">
        <f t="shared" si="6"/>
        <v>1030</v>
      </c>
      <c r="N65" s="24">
        <f t="shared" si="6"/>
        <v>234613</v>
      </c>
      <c r="O65" s="24">
        <f t="shared" si="6"/>
        <v>500165</v>
      </c>
    </row>
    <row r="66" spans="1:15" s="3" customFormat="1" ht="13.5" customHeight="1">
      <c r="A66" s="478">
        <v>1</v>
      </c>
      <c r="B66" s="539">
        <v>20</v>
      </c>
      <c r="C66" s="489" t="s">
        <v>85</v>
      </c>
      <c r="D66" s="344"/>
      <c r="E66" s="344"/>
      <c r="F66" s="344"/>
      <c r="G66" s="344"/>
      <c r="H66" s="344"/>
      <c r="I66" s="344"/>
      <c r="J66" s="344"/>
      <c r="K66" s="344"/>
      <c r="L66" s="344"/>
      <c r="M66" s="540"/>
      <c r="N66" s="540"/>
      <c r="O66" s="540"/>
    </row>
    <row r="67" spans="1:15" s="3" customFormat="1" ht="13.5" customHeight="1">
      <c r="A67" s="57">
        <v>1</v>
      </c>
      <c r="B67" s="36">
        <v>21</v>
      </c>
      <c r="C67" s="861" t="s">
        <v>86</v>
      </c>
      <c r="D67" s="856"/>
      <c r="E67" s="344"/>
      <c r="F67" s="344"/>
      <c r="G67" s="344"/>
      <c r="H67" s="344"/>
      <c r="I67" s="344"/>
      <c r="J67" s="344"/>
      <c r="K67" s="344"/>
      <c r="L67" s="344"/>
      <c r="M67" s="540"/>
      <c r="N67" s="540"/>
      <c r="O67" s="540"/>
    </row>
    <row r="68" spans="1:15" s="3" customFormat="1" ht="13.5" customHeight="1">
      <c r="A68" s="57"/>
      <c r="B68" s="36"/>
      <c r="C68" s="473"/>
      <c r="D68" s="486"/>
      <c r="E68" s="344"/>
      <c r="F68" s="344"/>
      <c r="G68" s="344"/>
      <c r="H68" s="344"/>
      <c r="I68" s="344"/>
      <c r="J68" s="344"/>
      <c r="K68" s="265"/>
      <c r="L68" s="265"/>
      <c r="M68" s="689"/>
      <c r="N68" s="689"/>
      <c r="O68" s="689">
        <f>SUM(K68:N68)</f>
        <v>0</v>
      </c>
    </row>
    <row r="69" spans="1:15" s="3" customFormat="1" ht="13.5" customHeight="1">
      <c r="A69" s="13"/>
      <c r="B69" s="686"/>
      <c r="C69" s="52" t="s">
        <v>123</v>
      </c>
      <c r="D69" s="688"/>
      <c r="E69" s="24"/>
      <c r="F69" s="24"/>
      <c r="G69" s="24"/>
      <c r="H69" s="24"/>
      <c r="I69" s="24"/>
      <c r="J69" s="24"/>
      <c r="K69" s="24">
        <f>SUM(K68:K68)</f>
        <v>0</v>
      </c>
      <c r="L69" s="24"/>
      <c r="M69" s="687"/>
      <c r="N69" s="687"/>
      <c r="O69" s="687">
        <f>SUM(O68:O68)</f>
        <v>0</v>
      </c>
    </row>
    <row r="70" spans="1:15" s="3" customFormat="1" ht="25.5" customHeight="1">
      <c r="A70" s="12"/>
      <c r="B70" s="12"/>
      <c r="C70" s="543" t="s">
        <v>611</v>
      </c>
      <c r="D70" s="24">
        <f aca="true" t="shared" si="7" ref="D70:O70">D8+D12+D16+D29+D37+D46+D49+D65+D66+D69</f>
        <v>124917</v>
      </c>
      <c r="E70" s="24">
        <f t="shared" si="7"/>
        <v>19362</v>
      </c>
      <c r="F70" s="24">
        <f t="shared" si="7"/>
        <v>0</v>
      </c>
      <c r="G70" s="24">
        <f t="shared" si="7"/>
        <v>12500</v>
      </c>
      <c r="H70" s="24">
        <f t="shared" si="7"/>
        <v>954</v>
      </c>
      <c r="I70" s="24">
        <f t="shared" si="7"/>
        <v>165122</v>
      </c>
      <c r="J70" s="24">
        <f t="shared" si="7"/>
        <v>0</v>
      </c>
      <c r="K70" s="24">
        <f t="shared" si="7"/>
        <v>-13230</v>
      </c>
      <c r="L70" s="24">
        <f t="shared" si="7"/>
        <v>274613</v>
      </c>
      <c r="M70" s="24">
        <f t="shared" si="7"/>
        <v>30030</v>
      </c>
      <c r="N70" s="24">
        <f t="shared" si="7"/>
        <v>269866</v>
      </c>
      <c r="O70" s="24">
        <f t="shared" si="7"/>
        <v>884134</v>
      </c>
    </row>
    <row r="71" spans="1:15" s="3" customFormat="1" ht="15" customHeight="1">
      <c r="A71" s="396">
        <v>2</v>
      </c>
      <c r="B71" s="396"/>
      <c r="C71" s="264" t="s">
        <v>606</v>
      </c>
      <c r="D71" s="344">
        <f>'táj.1.'!D46</f>
        <v>62077</v>
      </c>
      <c r="E71" s="344">
        <f>'táj.1.'!E46</f>
        <v>9176</v>
      </c>
      <c r="F71" s="344"/>
      <c r="G71" s="344">
        <f>'táj.1.'!J46</f>
        <v>228</v>
      </c>
      <c r="H71" s="344">
        <f>'táj.1.'!K46</f>
        <v>13221</v>
      </c>
      <c r="I71" s="344"/>
      <c r="J71" s="344">
        <f>'táj.1.'!G46</f>
        <v>0</v>
      </c>
      <c r="K71" s="344">
        <f>'táj.1.'!H46</f>
        <v>87994</v>
      </c>
      <c r="L71" s="344">
        <f>'táj.1.'!I46</f>
        <v>8194</v>
      </c>
      <c r="M71" s="344"/>
      <c r="N71" s="344">
        <f>'táj.1.'!M46</f>
        <v>236121</v>
      </c>
      <c r="O71" s="344">
        <f>SUM(D71:N71)</f>
        <v>417011</v>
      </c>
    </row>
    <row r="72" spans="1:15" s="3" customFormat="1" ht="15" customHeight="1">
      <c r="A72" s="12"/>
      <c r="B72" s="12"/>
      <c r="C72" s="23" t="s">
        <v>476</v>
      </c>
      <c r="D72" s="24">
        <f>SUM(D70:D71)</f>
        <v>186994</v>
      </c>
      <c r="E72" s="24">
        <f aca="true" t="shared" si="8" ref="E72:O72">SUM(E70:E71)</f>
        <v>28538</v>
      </c>
      <c r="F72" s="24">
        <f t="shared" si="8"/>
        <v>0</v>
      </c>
      <c r="G72" s="24">
        <f t="shared" si="8"/>
        <v>12728</v>
      </c>
      <c r="H72" s="24">
        <f t="shared" si="8"/>
        <v>14175</v>
      </c>
      <c r="I72" s="24">
        <f t="shared" si="8"/>
        <v>165122</v>
      </c>
      <c r="J72" s="24">
        <f t="shared" si="8"/>
        <v>0</v>
      </c>
      <c r="K72" s="24">
        <f t="shared" si="8"/>
        <v>74764</v>
      </c>
      <c r="L72" s="24">
        <f t="shared" si="8"/>
        <v>282807</v>
      </c>
      <c r="M72" s="24">
        <f t="shared" si="8"/>
        <v>30030</v>
      </c>
      <c r="N72" s="24">
        <f t="shared" si="8"/>
        <v>505987</v>
      </c>
      <c r="O72" s="24">
        <f t="shared" si="8"/>
        <v>1301145</v>
      </c>
    </row>
    <row r="73" spans="1:15" s="3" customFormat="1" ht="13.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1:15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1:15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757"/>
    </row>
    <row r="77" spans="1:15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1:15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1:15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1:15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pans="1:15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</row>
    <row r="82" spans="3:15" ht="12.7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3:15" ht="12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3:15" ht="12.7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3:15" ht="12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3:15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2.7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2.7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2.7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3:15" ht="12.7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3:15" ht="12.75"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3:15" ht="12.75"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3:15" ht="12.7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2.7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3:15" ht="12.75"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3:15" ht="12.7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3:15" ht="12.7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2.75"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</sheetData>
  <sheetProtection/>
  <mergeCells count="6">
    <mergeCell ref="C48:D48"/>
    <mergeCell ref="D1:E1"/>
    <mergeCell ref="G1:H1"/>
    <mergeCell ref="C67:D67"/>
    <mergeCell ref="C10:D10"/>
    <mergeCell ref="C42:D42"/>
  </mergeCells>
  <printOptions horizontalCentered="1" verticalCentered="1"/>
  <pageMargins left="0.11811023622047245" right="0.11811023622047245" top="1.1811023622047245" bottom="0.7086614173228347" header="0.5905511811023623" footer="0.5118110236220472"/>
  <pageSetup horizontalDpi="600" verticalDpi="600" orientation="landscape" paperSize="9" scale="90" r:id="rId1"/>
  <headerFooter alignWithMargins="0">
    <oddHeader>&amp;C&amp;"Times New Roman,Normál"ZALAEGERSZEG MEGYEI JOGÚ VÁROS ÖNKORMÁNYZATA ÁLTAL IRÁNYÍTOTT KÖLTSÉGVETÉSI SZERVEK
2012. ÉVI BEVÉTELI ELŐIRÁNYZATAINAK  MÓDOSÍTÁSA AZ  II. NEGYEDÉVBEN&amp;R&amp;"Times New Roman,Normál"11. számú melléklet
Adatok: ezer Ft-ban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180"/>
  <sheetViews>
    <sheetView zoomScaleSheetLayoutView="120" workbookViewId="0" topLeftCell="C1">
      <pane ySplit="2" topLeftCell="BM45" activePane="bottomLeft" state="frozen"/>
      <selection pane="topLeft" activeCell="A1" sqref="A1"/>
      <selection pane="bottomLeft" activeCell="C58" sqref="C58:D58"/>
    </sheetView>
  </sheetViews>
  <sheetFormatPr defaultColWidth="9.00390625" defaultRowHeight="12.75"/>
  <cols>
    <col min="1" max="1" width="6.375" style="28" customWidth="1"/>
    <col min="2" max="2" width="7.00390625" style="28" customWidth="1"/>
    <col min="3" max="3" width="9.375" style="28" customWidth="1"/>
    <col min="4" max="4" width="31.00390625" style="28" customWidth="1"/>
    <col min="5" max="6" width="11.00390625" style="28" bestFit="1" customWidth="1"/>
    <col min="7" max="7" width="10.00390625" style="28" customWidth="1"/>
    <col min="8" max="11" width="9.375" style="28" customWidth="1"/>
    <col min="12" max="12" width="11.00390625" style="28" bestFit="1" customWidth="1"/>
    <col min="13" max="13" width="9.875" style="28" bestFit="1" customWidth="1"/>
    <col min="14" max="14" width="8.875" style="28" customWidth="1"/>
    <col min="15" max="15" width="10.125" style="28" customWidth="1"/>
    <col min="16" max="16" width="9.875" style="28" customWidth="1"/>
    <col min="17" max="16384" width="9.375" style="28" customWidth="1"/>
  </cols>
  <sheetData>
    <row r="1" spans="1:16" s="27" customFormat="1" ht="24.75" customHeight="1">
      <c r="A1" s="290"/>
      <c r="B1" s="291"/>
      <c r="C1" s="292"/>
      <c r="D1" s="293"/>
      <c r="E1" s="294"/>
      <c r="F1" s="294"/>
      <c r="G1" s="294"/>
      <c r="H1" s="295" t="s">
        <v>201</v>
      </c>
      <c r="I1" s="296"/>
      <c r="J1" s="902" t="s">
        <v>212</v>
      </c>
      <c r="K1" s="410" t="s">
        <v>202</v>
      </c>
      <c r="L1" s="411"/>
      <c r="M1" s="294"/>
      <c r="N1" s="294"/>
      <c r="O1" s="292"/>
      <c r="P1" s="900" t="s">
        <v>81</v>
      </c>
    </row>
    <row r="2" spans="1:16" ht="56.25" customHeight="1" thickBot="1">
      <c r="A2" s="297" t="s">
        <v>203</v>
      </c>
      <c r="B2" s="298" t="s">
        <v>204</v>
      </c>
      <c r="C2" s="299" t="s">
        <v>181</v>
      </c>
      <c r="D2" s="300"/>
      <c r="E2" s="298" t="s">
        <v>205</v>
      </c>
      <c r="F2" s="298" t="s">
        <v>206</v>
      </c>
      <c r="G2" s="298" t="s">
        <v>207</v>
      </c>
      <c r="H2" s="301" t="s">
        <v>208</v>
      </c>
      <c r="I2" s="301" t="s">
        <v>211</v>
      </c>
      <c r="J2" s="903"/>
      <c r="K2" s="298" t="s">
        <v>213</v>
      </c>
      <c r="L2" s="298" t="s">
        <v>214</v>
      </c>
      <c r="M2" s="298" t="s">
        <v>243</v>
      </c>
      <c r="N2" s="298" t="s">
        <v>215</v>
      </c>
      <c r="O2" s="315" t="s">
        <v>193</v>
      </c>
      <c r="P2" s="901"/>
    </row>
    <row r="3" spans="1:16" ht="16.5" customHeight="1">
      <c r="A3" s="29">
        <v>1</v>
      </c>
      <c r="B3" s="29"/>
      <c r="C3" s="30" t="s">
        <v>605</v>
      </c>
      <c r="D3" s="31"/>
      <c r="E3" s="32"/>
      <c r="F3" s="32"/>
      <c r="G3" s="32"/>
      <c r="H3" s="32"/>
      <c r="I3" s="32"/>
      <c r="J3" s="32"/>
      <c r="K3" s="32"/>
      <c r="L3" s="32"/>
      <c r="M3" s="32"/>
      <c r="N3" s="32"/>
      <c r="O3" s="41"/>
      <c r="P3" s="316"/>
    </row>
    <row r="4" spans="1:16" ht="12">
      <c r="A4" s="36">
        <v>1</v>
      </c>
      <c r="B4" s="36">
        <v>12</v>
      </c>
      <c r="C4" s="43" t="s">
        <v>237</v>
      </c>
      <c r="D4" s="44"/>
      <c r="E4" s="37"/>
      <c r="F4" s="37"/>
      <c r="G4" s="37"/>
      <c r="H4" s="37"/>
      <c r="I4" s="37"/>
      <c r="J4" s="37"/>
      <c r="K4" s="37"/>
      <c r="L4" s="37"/>
      <c r="M4" s="37"/>
      <c r="N4" s="37"/>
      <c r="O4" s="41"/>
      <c r="P4" s="316"/>
    </row>
    <row r="5" spans="1:16" ht="14.25" customHeight="1">
      <c r="A5" s="36"/>
      <c r="B5" s="36"/>
      <c r="C5" s="896" t="s">
        <v>1154</v>
      </c>
      <c r="D5" s="897"/>
      <c r="E5" s="37"/>
      <c r="F5" s="37"/>
      <c r="G5" s="37"/>
      <c r="H5" s="37">
        <v>7477</v>
      </c>
      <c r="I5" s="37"/>
      <c r="J5" s="37"/>
      <c r="K5" s="37"/>
      <c r="L5" s="37"/>
      <c r="M5" s="37"/>
      <c r="N5" s="37"/>
      <c r="O5" s="41">
        <f aca="true" t="shared" si="0" ref="O5:O27">SUM(E5:N5)</f>
        <v>7477</v>
      </c>
      <c r="P5" s="316" t="s">
        <v>656</v>
      </c>
    </row>
    <row r="6" spans="1:16" ht="15" customHeight="1">
      <c r="A6" s="36"/>
      <c r="B6" s="36"/>
      <c r="C6" s="899" t="s">
        <v>845</v>
      </c>
      <c r="D6" s="868"/>
      <c r="E6" s="38"/>
      <c r="F6" s="38"/>
      <c r="G6" s="38"/>
      <c r="H6" s="37">
        <v>23380</v>
      </c>
      <c r="I6" s="37"/>
      <c r="J6" s="38"/>
      <c r="K6" s="38"/>
      <c r="L6" s="38"/>
      <c r="M6" s="36"/>
      <c r="N6" s="37"/>
      <c r="O6" s="41">
        <f>SUM(E6:N6)</f>
        <v>23380</v>
      </c>
      <c r="P6" s="316" t="s">
        <v>656</v>
      </c>
    </row>
    <row r="7" spans="1:16" ht="15" customHeight="1">
      <c r="A7" s="36"/>
      <c r="B7" s="36"/>
      <c r="C7" s="896" t="s">
        <v>901</v>
      </c>
      <c r="D7" s="897"/>
      <c r="E7" s="37"/>
      <c r="F7" s="37"/>
      <c r="G7" s="37"/>
      <c r="H7" s="37">
        <v>1633</v>
      </c>
      <c r="I7" s="37"/>
      <c r="J7" s="37"/>
      <c r="K7" s="37"/>
      <c r="L7" s="37"/>
      <c r="M7" s="37"/>
      <c r="N7" s="37"/>
      <c r="O7" s="41">
        <f t="shared" si="0"/>
        <v>1633</v>
      </c>
      <c r="P7" s="316" t="s">
        <v>656</v>
      </c>
    </row>
    <row r="8" spans="1:16" ht="15" customHeight="1">
      <c r="A8" s="36"/>
      <c r="B8" s="36"/>
      <c r="C8" s="907" t="s">
        <v>902</v>
      </c>
      <c r="D8" s="876"/>
      <c r="E8" s="38"/>
      <c r="F8" s="38">
        <v>897</v>
      </c>
      <c r="G8" s="38">
        <v>20</v>
      </c>
      <c r="H8" s="37">
        <v>5088</v>
      </c>
      <c r="I8" s="37"/>
      <c r="J8" s="38"/>
      <c r="K8" s="38"/>
      <c r="L8" s="38"/>
      <c r="M8" s="36"/>
      <c r="N8" s="37"/>
      <c r="O8" s="41">
        <f t="shared" si="0"/>
        <v>6005</v>
      </c>
      <c r="P8" s="316" t="s">
        <v>656</v>
      </c>
    </row>
    <row r="9" spans="1:16" ht="15" customHeight="1">
      <c r="A9" s="36"/>
      <c r="B9" s="36"/>
      <c r="C9" s="907" t="s">
        <v>905</v>
      </c>
      <c r="D9" s="876"/>
      <c r="E9" s="38"/>
      <c r="F9" s="38"/>
      <c r="G9" s="38"/>
      <c r="H9" s="37">
        <v>3196</v>
      </c>
      <c r="I9" s="37"/>
      <c r="J9" s="38"/>
      <c r="K9" s="38"/>
      <c r="L9" s="38"/>
      <c r="M9" s="36"/>
      <c r="N9" s="37"/>
      <c r="O9" s="41">
        <f t="shared" si="0"/>
        <v>3196</v>
      </c>
      <c r="P9" s="316" t="s">
        <v>656</v>
      </c>
    </row>
    <row r="10" spans="1:16" ht="15" customHeight="1">
      <c r="A10" s="36"/>
      <c r="B10" s="36"/>
      <c r="C10" s="907" t="s">
        <v>904</v>
      </c>
      <c r="D10" s="876"/>
      <c r="E10" s="38"/>
      <c r="F10" s="38"/>
      <c r="G10" s="38"/>
      <c r="H10" s="37">
        <v>10017</v>
      </c>
      <c r="I10" s="37"/>
      <c r="J10" s="38"/>
      <c r="K10" s="38"/>
      <c r="L10" s="38"/>
      <c r="M10" s="36"/>
      <c r="N10" s="37"/>
      <c r="O10" s="41">
        <f t="shared" si="0"/>
        <v>10017</v>
      </c>
      <c r="P10" s="316" t="s">
        <v>656</v>
      </c>
    </row>
    <row r="11" spans="1:16" ht="15" customHeight="1">
      <c r="A11" s="36"/>
      <c r="B11" s="36"/>
      <c r="C11" s="41" t="s">
        <v>1155</v>
      </c>
      <c r="D11" s="472"/>
      <c r="E11" s="38"/>
      <c r="F11" s="38"/>
      <c r="G11" s="38"/>
      <c r="H11" s="37">
        <v>1130</v>
      </c>
      <c r="I11" s="37"/>
      <c r="J11" s="38"/>
      <c r="K11" s="38"/>
      <c r="L11" s="38"/>
      <c r="M11" s="36"/>
      <c r="N11" s="37"/>
      <c r="O11" s="41">
        <f t="shared" si="0"/>
        <v>1130</v>
      </c>
      <c r="P11" s="316" t="s">
        <v>656</v>
      </c>
    </row>
    <row r="12" spans="1:16" ht="14.25" customHeight="1">
      <c r="A12" s="36"/>
      <c r="B12" s="36"/>
      <c r="C12" s="898" t="s">
        <v>557</v>
      </c>
      <c r="D12" s="882"/>
      <c r="E12" s="38"/>
      <c r="F12" s="38"/>
      <c r="G12" s="38"/>
      <c r="H12" s="37">
        <v>1188</v>
      </c>
      <c r="I12" s="37"/>
      <c r="J12" s="38"/>
      <c r="K12" s="38"/>
      <c r="L12" s="38"/>
      <c r="M12" s="36"/>
      <c r="N12" s="37"/>
      <c r="O12" s="41">
        <f t="shared" si="0"/>
        <v>1188</v>
      </c>
      <c r="P12" s="316" t="s">
        <v>656</v>
      </c>
    </row>
    <row r="13" spans="1:16" ht="11.25" customHeight="1">
      <c r="A13" s="36"/>
      <c r="B13" s="36"/>
      <c r="C13" s="883" t="s">
        <v>991</v>
      </c>
      <c r="D13" s="876"/>
      <c r="E13" s="38"/>
      <c r="F13" s="38"/>
      <c r="G13" s="38"/>
      <c r="H13" s="37"/>
      <c r="I13" s="37"/>
      <c r="J13" s="38"/>
      <c r="K13" s="38"/>
      <c r="L13" s="38"/>
      <c r="M13" s="36"/>
      <c r="N13" s="37"/>
      <c r="O13" s="41"/>
      <c r="P13" s="316"/>
    </row>
    <row r="14" spans="1:16" ht="14.25" customHeight="1">
      <c r="A14" s="36"/>
      <c r="B14" s="36"/>
      <c r="C14" s="898" t="s">
        <v>1037</v>
      </c>
      <c r="D14" s="836"/>
      <c r="E14" s="38"/>
      <c r="F14" s="38"/>
      <c r="G14" s="38"/>
      <c r="H14" s="37">
        <v>40</v>
      </c>
      <c r="I14" s="37"/>
      <c r="J14" s="38"/>
      <c r="K14" s="38"/>
      <c r="L14" s="38"/>
      <c r="M14" s="36"/>
      <c r="N14" s="37"/>
      <c r="O14" s="41">
        <f t="shared" si="0"/>
        <v>40</v>
      </c>
      <c r="P14" s="316" t="s">
        <v>696</v>
      </c>
    </row>
    <row r="15" spans="1:16" ht="14.25" customHeight="1">
      <c r="A15" s="36"/>
      <c r="B15" s="36"/>
      <c r="C15" s="899" t="s">
        <v>1156</v>
      </c>
      <c r="D15" s="871"/>
      <c r="E15" s="38"/>
      <c r="F15" s="38"/>
      <c r="G15" s="38"/>
      <c r="H15" s="37"/>
      <c r="I15" s="37"/>
      <c r="J15" s="38"/>
      <c r="K15" s="38"/>
      <c r="L15" s="38"/>
      <c r="M15" s="36"/>
      <c r="N15" s="37"/>
      <c r="O15" s="41"/>
      <c r="P15" s="316"/>
    </row>
    <row r="16" spans="1:16" ht="14.25" customHeight="1">
      <c r="A16" s="36"/>
      <c r="B16" s="36"/>
      <c r="C16" s="48" t="s">
        <v>1157</v>
      </c>
      <c r="D16" s="46"/>
      <c r="E16" s="38"/>
      <c r="F16" s="38"/>
      <c r="G16" s="38"/>
      <c r="H16" s="37">
        <v>-30000</v>
      </c>
      <c r="I16" s="37"/>
      <c r="J16" s="38"/>
      <c r="K16" s="38"/>
      <c r="L16" s="38"/>
      <c r="M16" s="36"/>
      <c r="N16" s="37"/>
      <c r="O16" s="41">
        <f t="shared" si="0"/>
        <v>-30000</v>
      </c>
      <c r="P16" s="316" t="s">
        <v>656</v>
      </c>
    </row>
    <row r="17" spans="1:16" ht="14.25" customHeight="1">
      <c r="A17" s="36"/>
      <c r="B17" s="36"/>
      <c r="C17" s="746" t="s">
        <v>1158</v>
      </c>
      <c r="D17" s="46"/>
      <c r="E17" s="38"/>
      <c r="F17" s="38"/>
      <c r="G17" s="38"/>
      <c r="H17" s="37"/>
      <c r="I17" s="37"/>
      <c r="J17" s="38"/>
      <c r="K17" s="38"/>
      <c r="L17" s="38"/>
      <c r="M17" s="36"/>
      <c r="N17" s="37"/>
      <c r="O17" s="41"/>
      <c r="P17" s="316"/>
    </row>
    <row r="18" spans="1:16" ht="14.25" customHeight="1">
      <c r="A18" s="36"/>
      <c r="B18" s="36"/>
      <c r="C18" s="48" t="s">
        <v>1159</v>
      </c>
      <c r="D18" s="46"/>
      <c r="E18" s="38"/>
      <c r="F18" s="38"/>
      <c r="G18" s="38"/>
      <c r="H18" s="37">
        <v>-2000</v>
      </c>
      <c r="I18" s="37"/>
      <c r="J18" s="38"/>
      <c r="K18" s="38"/>
      <c r="L18" s="38"/>
      <c r="M18" s="36"/>
      <c r="N18" s="37"/>
      <c r="O18" s="41">
        <f t="shared" si="0"/>
        <v>-2000</v>
      </c>
      <c r="P18" s="316" t="s">
        <v>656</v>
      </c>
    </row>
    <row r="19" spans="1:16" ht="14.25" customHeight="1">
      <c r="A19" s="36"/>
      <c r="B19" s="36"/>
      <c r="C19" s="872" t="s">
        <v>716</v>
      </c>
      <c r="D19" s="889"/>
      <c r="E19" s="38"/>
      <c r="F19" s="38"/>
      <c r="G19" s="38"/>
      <c r="H19" s="37"/>
      <c r="I19" s="37"/>
      <c r="J19" s="38"/>
      <c r="K19" s="38"/>
      <c r="L19" s="38"/>
      <c r="M19" s="36"/>
      <c r="N19" s="37"/>
      <c r="O19" s="41"/>
      <c r="P19" s="316"/>
    </row>
    <row r="20" spans="1:16" ht="14.25" customHeight="1">
      <c r="A20" s="36"/>
      <c r="B20" s="36"/>
      <c r="C20" s="473" t="s">
        <v>717</v>
      </c>
      <c r="D20" s="477"/>
      <c r="E20" s="38"/>
      <c r="F20" s="38"/>
      <c r="G20" s="38"/>
      <c r="H20" s="37">
        <v>3000</v>
      </c>
      <c r="I20" s="37"/>
      <c r="J20" s="38"/>
      <c r="K20" s="38"/>
      <c r="L20" s="38"/>
      <c r="M20" s="36"/>
      <c r="N20" s="37"/>
      <c r="O20" s="41">
        <f t="shared" si="0"/>
        <v>3000</v>
      </c>
      <c r="P20" s="316" t="s">
        <v>656</v>
      </c>
    </row>
    <row r="21" spans="1:16" ht="14.25" customHeight="1">
      <c r="A21" s="36"/>
      <c r="B21" s="36"/>
      <c r="C21" s="492" t="s">
        <v>556</v>
      </c>
      <c r="D21" s="477"/>
      <c r="E21" s="38"/>
      <c r="F21" s="38"/>
      <c r="G21" s="38"/>
      <c r="H21" s="37">
        <v>18</v>
      </c>
      <c r="I21" s="37"/>
      <c r="J21" s="38"/>
      <c r="K21" s="38"/>
      <c r="L21" s="38"/>
      <c r="M21" s="36"/>
      <c r="N21" s="37"/>
      <c r="O21" s="41">
        <f t="shared" si="0"/>
        <v>18</v>
      </c>
      <c r="P21" s="316" t="s">
        <v>656</v>
      </c>
    </row>
    <row r="22" spans="1:16" ht="24.75" customHeight="1">
      <c r="A22" s="36"/>
      <c r="B22" s="36"/>
      <c r="C22" s="879" t="s">
        <v>1214</v>
      </c>
      <c r="D22" s="836"/>
      <c r="E22" s="38"/>
      <c r="F22" s="38"/>
      <c r="G22" s="38"/>
      <c r="H22" s="37">
        <v>903</v>
      </c>
      <c r="I22" s="37"/>
      <c r="J22" s="38"/>
      <c r="K22" s="38"/>
      <c r="L22" s="38"/>
      <c r="M22" s="36"/>
      <c r="N22" s="37"/>
      <c r="O22" s="41">
        <f t="shared" si="0"/>
        <v>903</v>
      </c>
      <c r="P22" s="316" t="s">
        <v>656</v>
      </c>
    </row>
    <row r="23" spans="1:16" ht="14.25" customHeight="1">
      <c r="A23" s="36"/>
      <c r="B23" s="36"/>
      <c r="C23" s="906" t="s">
        <v>896</v>
      </c>
      <c r="D23" s="909"/>
      <c r="E23" s="38"/>
      <c r="F23" s="38"/>
      <c r="G23" s="38"/>
      <c r="H23" s="37">
        <v>80</v>
      </c>
      <c r="I23" s="37"/>
      <c r="J23" s="38"/>
      <c r="K23" s="38"/>
      <c r="L23" s="38"/>
      <c r="M23" s="36"/>
      <c r="N23" s="37"/>
      <c r="O23" s="41">
        <f t="shared" si="0"/>
        <v>80</v>
      </c>
      <c r="P23" s="316" t="s">
        <v>656</v>
      </c>
    </row>
    <row r="24" spans="1:16" ht="24.75" customHeight="1">
      <c r="A24" s="36"/>
      <c r="B24" s="36"/>
      <c r="C24" s="906" t="s">
        <v>895</v>
      </c>
      <c r="D24" s="836"/>
      <c r="E24" s="38"/>
      <c r="F24" s="38"/>
      <c r="G24" s="38"/>
      <c r="H24" s="37"/>
      <c r="I24" s="37"/>
      <c r="J24" s="38"/>
      <c r="K24" s="38"/>
      <c r="L24" s="38"/>
      <c r="M24" s="36"/>
      <c r="N24" s="37"/>
      <c r="O24" s="41"/>
      <c r="P24" s="316"/>
    </row>
    <row r="25" spans="1:16" ht="14.25" customHeight="1">
      <c r="A25" s="36"/>
      <c r="B25" s="36"/>
      <c r="C25" s="473" t="s">
        <v>10</v>
      </c>
      <c r="D25" s="477"/>
      <c r="E25" s="38"/>
      <c r="F25" s="38"/>
      <c r="G25" s="38"/>
      <c r="H25" s="37">
        <v>1800</v>
      </c>
      <c r="I25" s="37"/>
      <c r="J25" s="38"/>
      <c r="K25" s="38"/>
      <c r="L25" s="38"/>
      <c r="M25" s="36"/>
      <c r="N25" s="37"/>
      <c r="O25" s="41">
        <v>1800</v>
      </c>
      <c r="P25" s="316" t="s">
        <v>656</v>
      </c>
    </row>
    <row r="26" spans="1:16" ht="14.25" customHeight="1">
      <c r="A26" s="36"/>
      <c r="B26" s="36"/>
      <c r="C26" s="48" t="s">
        <v>1160</v>
      </c>
      <c r="D26" s="46"/>
      <c r="E26" s="38"/>
      <c r="F26" s="38"/>
      <c r="G26" s="38"/>
      <c r="H26" s="37"/>
      <c r="I26" s="37"/>
      <c r="J26" s="38"/>
      <c r="K26" s="38"/>
      <c r="L26" s="38"/>
      <c r="M26" s="36"/>
      <c r="N26" s="37"/>
      <c r="O26" s="41"/>
      <c r="P26" s="316"/>
    </row>
    <row r="27" spans="1:16" ht="14.25" customHeight="1">
      <c r="A27" s="36"/>
      <c r="B27" s="36"/>
      <c r="C27" s="48" t="s">
        <v>1161</v>
      </c>
      <c r="D27" s="46"/>
      <c r="E27" s="38"/>
      <c r="F27" s="38"/>
      <c r="G27" s="38">
        <v>1575</v>
      </c>
      <c r="H27" s="37"/>
      <c r="I27" s="37"/>
      <c r="J27" s="38"/>
      <c r="K27" s="38"/>
      <c r="L27" s="38"/>
      <c r="M27" s="36"/>
      <c r="N27" s="37"/>
      <c r="O27" s="41">
        <f t="shared" si="0"/>
        <v>1575</v>
      </c>
      <c r="P27" s="316" t="s">
        <v>656</v>
      </c>
    </row>
    <row r="28" spans="1:16" ht="14.25" customHeight="1">
      <c r="A28" s="36"/>
      <c r="B28" s="36"/>
      <c r="C28" s="872" t="s">
        <v>29</v>
      </c>
      <c r="D28" s="865"/>
      <c r="E28" s="38"/>
      <c r="F28" s="38"/>
      <c r="G28" s="38">
        <v>6000</v>
      </c>
      <c r="H28" s="37">
        <v>-6000</v>
      </c>
      <c r="I28" s="37"/>
      <c r="J28" s="38"/>
      <c r="K28" s="38"/>
      <c r="L28" s="38"/>
      <c r="M28" s="36"/>
      <c r="N28" s="37"/>
      <c r="O28" s="41">
        <v>0</v>
      </c>
      <c r="P28" s="316" t="s">
        <v>656</v>
      </c>
    </row>
    <row r="29" spans="1:16" ht="15" customHeight="1">
      <c r="A29" s="36"/>
      <c r="B29" s="36"/>
      <c r="C29" s="883" t="s">
        <v>1162</v>
      </c>
      <c r="D29" s="876"/>
      <c r="E29" s="38"/>
      <c r="F29" s="38"/>
      <c r="G29" s="38"/>
      <c r="H29" s="37"/>
      <c r="I29" s="37"/>
      <c r="J29" s="38"/>
      <c r="K29" s="38"/>
      <c r="L29" s="38"/>
      <c r="M29" s="36"/>
      <c r="N29" s="37"/>
      <c r="O29" s="41"/>
      <c r="P29" s="316"/>
    </row>
    <row r="30" spans="1:16" ht="24.75" customHeight="1">
      <c r="A30" s="36"/>
      <c r="B30" s="36"/>
      <c r="C30" s="910" t="s">
        <v>1163</v>
      </c>
      <c r="D30" s="911"/>
      <c r="E30" s="38"/>
      <c r="F30" s="38"/>
      <c r="G30" s="38"/>
      <c r="H30" s="37"/>
      <c r="I30" s="37"/>
      <c r="J30" s="38"/>
      <c r="K30" s="38"/>
      <c r="L30" s="38"/>
      <c r="M30" s="37">
        <v>49155</v>
      </c>
      <c r="N30" s="37"/>
      <c r="O30" s="41">
        <v>49155</v>
      </c>
      <c r="P30" s="316" t="s">
        <v>656</v>
      </c>
    </row>
    <row r="31" spans="1:16" ht="17.25" customHeight="1">
      <c r="A31" s="49"/>
      <c r="B31" s="49"/>
      <c r="C31" s="72" t="s">
        <v>238</v>
      </c>
      <c r="D31" s="73"/>
      <c r="E31" s="74">
        <f aca="true" t="shared" si="1" ref="E31:O31">SUM(E5:E30)</f>
        <v>0</v>
      </c>
      <c r="F31" s="74">
        <f t="shared" si="1"/>
        <v>897</v>
      </c>
      <c r="G31" s="74">
        <f t="shared" si="1"/>
        <v>7595</v>
      </c>
      <c r="H31" s="74">
        <f t="shared" si="1"/>
        <v>20950</v>
      </c>
      <c r="I31" s="74">
        <f t="shared" si="1"/>
        <v>0</v>
      </c>
      <c r="J31" s="74">
        <f t="shared" si="1"/>
        <v>0</v>
      </c>
      <c r="K31" s="74">
        <f t="shared" si="1"/>
        <v>0</v>
      </c>
      <c r="L31" s="74">
        <f t="shared" si="1"/>
        <v>0</v>
      </c>
      <c r="M31" s="74">
        <f t="shared" si="1"/>
        <v>49155</v>
      </c>
      <c r="N31" s="74">
        <f t="shared" si="1"/>
        <v>0</v>
      </c>
      <c r="O31" s="74">
        <f t="shared" si="1"/>
        <v>78597</v>
      </c>
      <c r="P31" s="316"/>
    </row>
    <row r="32" spans="1:16" ht="17.25" customHeight="1">
      <c r="A32" s="49"/>
      <c r="B32" s="49"/>
      <c r="C32" s="489" t="s">
        <v>1164</v>
      </c>
      <c r="D32" s="747"/>
      <c r="E32" s="748"/>
      <c r="F32" s="748"/>
      <c r="G32" s="748"/>
      <c r="H32" s="749">
        <v>130</v>
      </c>
      <c r="I32" s="749"/>
      <c r="J32" s="749"/>
      <c r="K32" s="749"/>
      <c r="L32" s="749"/>
      <c r="M32" s="749"/>
      <c r="N32" s="749"/>
      <c r="O32" s="489">
        <v>130</v>
      </c>
      <c r="P32" s="316"/>
    </row>
    <row r="33" spans="1:16" ht="14.25" customHeight="1">
      <c r="A33" s="45"/>
      <c r="B33" s="45"/>
      <c r="C33" s="48" t="s">
        <v>239</v>
      </c>
      <c r="D33" s="46"/>
      <c r="E33" s="47"/>
      <c r="F33" s="47"/>
      <c r="G33" s="47"/>
      <c r="H33" s="47"/>
      <c r="I33" s="267">
        <f>7!K12</f>
        <v>2000</v>
      </c>
      <c r="J33" s="267"/>
      <c r="K33" s="268">
        <f>7!J12</f>
        <v>1293</v>
      </c>
      <c r="L33" s="267"/>
      <c r="M33" s="54"/>
      <c r="N33" s="54"/>
      <c r="O33" s="41">
        <f>SUM(E33:N33)</f>
        <v>3293</v>
      </c>
      <c r="P33" s="316"/>
    </row>
    <row r="34" spans="1:16" ht="12">
      <c r="A34" s="45"/>
      <c r="B34" s="45"/>
      <c r="C34" s="48" t="s">
        <v>240</v>
      </c>
      <c r="D34" s="46"/>
      <c r="E34" s="47"/>
      <c r="F34" s="47"/>
      <c r="G34" s="47"/>
      <c r="H34" s="47"/>
      <c r="I34" s="268">
        <f>6!K16</f>
        <v>0</v>
      </c>
      <c r="J34" s="268"/>
      <c r="K34" s="268"/>
      <c r="L34" s="268">
        <f>6!J16</f>
        <v>-970</v>
      </c>
      <c r="M34" s="54"/>
      <c r="N34" s="54"/>
      <c r="O34" s="41">
        <f>SUM(E34:N34)</f>
        <v>-970</v>
      </c>
      <c r="P34" s="316"/>
    </row>
    <row r="35" spans="1:16" ht="12.75" customHeight="1">
      <c r="A35" s="49"/>
      <c r="B35" s="49"/>
      <c r="C35" s="50" t="s">
        <v>241</v>
      </c>
      <c r="D35" s="51"/>
      <c r="E35" s="52">
        <f aca="true" t="shared" si="2" ref="E35:O35">SUM(E31:E34)</f>
        <v>0</v>
      </c>
      <c r="F35" s="52">
        <f t="shared" si="2"/>
        <v>897</v>
      </c>
      <c r="G35" s="52">
        <f t="shared" si="2"/>
        <v>7595</v>
      </c>
      <c r="H35" s="52">
        <f t="shared" si="2"/>
        <v>21080</v>
      </c>
      <c r="I35" s="52">
        <f t="shared" si="2"/>
        <v>2000</v>
      </c>
      <c r="J35" s="52">
        <f t="shared" si="2"/>
        <v>0</v>
      </c>
      <c r="K35" s="52">
        <f t="shared" si="2"/>
        <v>1293</v>
      </c>
      <c r="L35" s="52">
        <f t="shared" si="2"/>
        <v>-970</v>
      </c>
      <c r="M35" s="52">
        <f t="shared" si="2"/>
        <v>49155</v>
      </c>
      <c r="N35" s="52">
        <f t="shared" si="2"/>
        <v>0</v>
      </c>
      <c r="O35" s="50">
        <f t="shared" si="2"/>
        <v>81050</v>
      </c>
      <c r="P35" s="316"/>
    </row>
    <row r="36" spans="1:16" ht="15" customHeight="1">
      <c r="A36" s="45">
        <v>1</v>
      </c>
      <c r="B36" s="45">
        <v>13</v>
      </c>
      <c r="C36" s="55" t="s">
        <v>242</v>
      </c>
      <c r="D36" s="56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41"/>
      <c r="P36" s="316"/>
    </row>
    <row r="37" spans="1:16" ht="15" customHeight="1">
      <c r="A37" s="45"/>
      <c r="B37" s="45"/>
      <c r="C37" s="872" t="s">
        <v>558</v>
      </c>
      <c r="D37" s="876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41"/>
      <c r="P37" s="316"/>
    </row>
    <row r="38" spans="1:16" ht="15" customHeight="1">
      <c r="A38" s="45"/>
      <c r="B38" s="45"/>
      <c r="C38" s="879" t="s">
        <v>590</v>
      </c>
      <c r="D38" s="868"/>
      <c r="E38" s="47"/>
      <c r="F38" s="47"/>
      <c r="G38" s="47">
        <v>-50</v>
      </c>
      <c r="H38" s="47"/>
      <c r="I38" s="54"/>
      <c r="J38" s="54"/>
      <c r="K38" s="54"/>
      <c r="L38" s="54"/>
      <c r="M38" s="54"/>
      <c r="N38" s="54"/>
      <c r="O38" s="41">
        <f aca="true" t="shared" si="3" ref="O38:O43">SUM(E38:N38)</f>
        <v>-50</v>
      </c>
      <c r="P38" s="316" t="s">
        <v>696</v>
      </c>
    </row>
    <row r="39" spans="1:16" ht="24.75" customHeight="1">
      <c r="A39" s="45"/>
      <c r="B39" s="45"/>
      <c r="C39" s="862" t="s">
        <v>591</v>
      </c>
      <c r="D39" s="863"/>
      <c r="E39" s="47"/>
      <c r="F39" s="47"/>
      <c r="G39" s="47"/>
      <c r="H39" s="47"/>
      <c r="I39" s="54"/>
      <c r="J39" s="54"/>
      <c r="K39" s="54"/>
      <c r="L39" s="54"/>
      <c r="M39" s="54"/>
      <c r="N39" s="54"/>
      <c r="O39" s="41"/>
      <c r="P39" s="316"/>
    </row>
    <row r="40" spans="1:16" ht="15" customHeight="1">
      <c r="A40" s="45"/>
      <c r="B40" s="45"/>
      <c r="C40" s="48" t="s">
        <v>1165</v>
      </c>
      <c r="D40" s="46"/>
      <c r="E40" s="47"/>
      <c r="F40" s="47"/>
      <c r="G40" s="47"/>
      <c r="H40" s="47">
        <v>500</v>
      </c>
      <c r="I40" s="54"/>
      <c r="J40" s="54"/>
      <c r="K40" s="54"/>
      <c r="L40" s="54"/>
      <c r="M40" s="54"/>
      <c r="N40" s="54"/>
      <c r="O40" s="41">
        <f t="shared" si="3"/>
        <v>500</v>
      </c>
      <c r="P40" s="316" t="s">
        <v>656</v>
      </c>
    </row>
    <row r="41" spans="1:16" ht="15" customHeight="1">
      <c r="A41" s="45"/>
      <c r="B41" s="45"/>
      <c r="C41" s="48" t="s">
        <v>1217</v>
      </c>
      <c r="D41" s="46"/>
      <c r="E41" s="47"/>
      <c r="F41" s="47"/>
      <c r="G41" s="47">
        <v>500</v>
      </c>
      <c r="H41" s="47"/>
      <c r="I41" s="54"/>
      <c r="J41" s="54"/>
      <c r="K41" s="54"/>
      <c r="L41" s="54"/>
      <c r="M41" s="54"/>
      <c r="N41" s="54"/>
      <c r="O41" s="41">
        <v>500</v>
      </c>
      <c r="P41" s="316" t="s">
        <v>656</v>
      </c>
    </row>
    <row r="42" spans="1:16" ht="12.75" customHeight="1">
      <c r="A42" s="45"/>
      <c r="B42" s="45"/>
      <c r="C42" s="883" t="s">
        <v>991</v>
      </c>
      <c r="D42" s="876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1"/>
      <c r="P42" s="316"/>
    </row>
    <row r="43" spans="1:16" ht="12.75" customHeight="1">
      <c r="A43" s="45"/>
      <c r="B43" s="45"/>
      <c r="C43" s="68" t="s">
        <v>443</v>
      </c>
      <c r="D43" s="460"/>
      <c r="E43" s="47"/>
      <c r="F43" s="47"/>
      <c r="G43" s="47"/>
      <c r="H43" s="47">
        <v>1005</v>
      </c>
      <c r="I43" s="47"/>
      <c r="J43" s="47"/>
      <c r="K43" s="47"/>
      <c r="L43" s="47"/>
      <c r="M43" s="47"/>
      <c r="N43" s="47"/>
      <c r="O43" s="41">
        <f t="shared" si="3"/>
        <v>1005</v>
      </c>
      <c r="P43" s="316" t="s">
        <v>696</v>
      </c>
    </row>
    <row r="44" spans="1:16" ht="13.5" customHeight="1">
      <c r="A44" s="49"/>
      <c r="B44" s="49"/>
      <c r="C44" s="50" t="s">
        <v>430</v>
      </c>
      <c r="D44" s="51"/>
      <c r="E44" s="52">
        <f aca="true" t="shared" si="4" ref="E44:O44">SUM(E38:E43)</f>
        <v>0</v>
      </c>
      <c r="F44" s="52">
        <f t="shared" si="4"/>
        <v>0</v>
      </c>
      <c r="G44" s="52">
        <f t="shared" si="4"/>
        <v>450</v>
      </c>
      <c r="H44" s="52">
        <f t="shared" si="4"/>
        <v>1505</v>
      </c>
      <c r="I44" s="52">
        <f t="shared" si="4"/>
        <v>0</v>
      </c>
      <c r="J44" s="52">
        <f t="shared" si="4"/>
        <v>0</v>
      </c>
      <c r="K44" s="52">
        <f t="shared" si="4"/>
        <v>0</v>
      </c>
      <c r="L44" s="52">
        <f t="shared" si="4"/>
        <v>0</v>
      </c>
      <c r="M44" s="52">
        <f t="shared" si="4"/>
        <v>0</v>
      </c>
      <c r="N44" s="52">
        <f t="shared" si="4"/>
        <v>0</v>
      </c>
      <c r="O44" s="52">
        <f t="shared" si="4"/>
        <v>1955</v>
      </c>
      <c r="P44" s="316"/>
    </row>
    <row r="45" spans="1:16" ht="13.5" customHeight="1">
      <c r="A45" s="57"/>
      <c r="B45" s="57"/>
      <c r="C45" s="48" t="s">
        <v>431</v>
      </c>
      <c r="D45" s="46"/>
      <c r="E45" s="54"/>
      <c r="F45" s="54"/>
      <c r="G45" s="54"/>
      <c r="H45" s="47"/>
      <c r="I45" s="268">
        <f>6!K36</f>
        <v>915</v>
      </c>
      <c r="J45" s="268"/>
      <c r="K45" s="268"/>
      <c r="L45" s="268">
        <f>6!J36</f>
        <v>-2190</v>
      </c>
      <c r="M45" s="54"/>
      <c r="N45" s="54"/>
      <c r="O45" s="41">
        <f>SUM(E45:N45)</f>
        <v>-1275</v>
      </c>
      <c r="P45" s="316"/>
    </row>
    <row r="46" spans="1:16" ht="13.5" customHeight="1">
      <c r="A46" s="57"/>
      <c r="B46" s="57"/>
      <c r="C46" s="48" t="s">
        <v>239</v>
      </c>
      <c r="D46" s="46"/>
      <c r="E46" s="54"/>
      <c r="F46" s="54"/>
      <c r="G46" s="54"/>
      <c r="H46" s="47"/>
      <c r="I46" s="268">
        <f>7!K26</f>
        <v>0</v>
      </c>
      <c r="J46" s="267"/>
      <c r="K46" s="268">
        <f>7!J26</f>
        <v>1500</v>
      </c>
      <c r="L46" s="267"/>
      <c r="M46" s="54"/>
      <c r="N46" s="54"/>
      <c r="O46" s="41">
        <f>SUM(E46:N46)</f>
        <v>1500</v>
      </c>
      <c r="P46" s="316"/>
    </row>
    <row r="47" spans="1:16" ht="13.5" customHeight="1">
      <c r="A47" s="49"/>
      <c r="B47" s="49"/>
      <c r="C47" s="50" t="s">
        <v>432</v>
      </c>
      <c r="D47" s="51"/>
      <c r="E47" s="52">
        <f aca="true" t="shared" si="5" ref="E47:O47">SUM(E44:E46)</f>
        <v>0</v>
      </c>
      <c r="F47" s="52">
        <f t="shared" si="5"/>
        <v>0</v>
      </c>
      <c r="G47" s="52">
        <f t="shared" si="5"/>
        <v>450</v>
      </c>
      <c r="H47" s="52">
        <f t="shared" si="5"/>
        <v>1505</v>
      </c>
      <c r="I47" s="52">
        <f t="shared" si="5"/>
        <v>915</v>
      </c>
      <c r="J47" s="52">
        <f t="shared" si="5"/>
        <v>0</v>
      </c>
      <c r="K47" s="52">
        <f t="shared" si="5"/>
        <v>1500</v>
      </c>
      <c r="L47" s="52">
        <f t="shared" si="5"/>
        <v>-2190</v>
      </c>
      <c r="M47" s="52">
        <f t="shared" si="5"/>
        <v>0</v>
      </c>
      <c r="N47" s="52">
        <f t="shared" si="5"/>
        <v>0</v>
      </c>
      <c r="O47" s="50">
        <f t="shared" si="5"/>
        <v>2180</v>
      </c>
      <c r="P47" s="316"/>
    </row>
    <row r="48" spans="1:16" ht="13.5" customHeight="1">
      <c r="A48" s="45">
        <v>1</v>
      </c>
      <c r="B48" s="45">
        <v>14</v>
      </c>
      <c r="C48" s="55" t="s">
        <v>433</v>
      </c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1"/>
      <c r="P48" s="316"/>
    </row>
    <row r="49" spans="1:16" ht="13.5" customHeight="1">
      <c r="A49" s="45"/>
      <c r="B49" s="45"/>
      <c r="C49" s="872" t="s">
        <v>592</v>
      </c>
      <c r="D49" s="865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1"/>
      <c r="P49" s="316"/>
    </row>
    <row r="50" spans="1:16" ht="13.5" customHeight="1">
      <c r="A50" s="45"/>
      <c r="B50" s="45"/>
      <c r="C50" s="879" t="s">
        <v>1166</v>
      </c>
      <c r="D50" s="868"/>
      <c r="E50" s="47"/>
      <c r="F50" s="47"/>
      <c r="G50" s="47"/>
      <c r="H50" s="47">
        <v>3921</v>
      </c>
      <c r="I50" s="47"/>
      <c r="J50" s="47"/>
      <c r="K50" s="47"/>
      <c r="L50" s="47"/>
      <c r="M50" s="47"/>
      <c r="N50" s="47"/>
      <c r="O50" s="41">
        <f>SUM(G50:N50)</f>
        <v>3921</v>
      </c>
      <c r="P50" s="316" t="s">
        <v>656</v>
      </c>
    </row>
    <row r="51" spans="1:16" ht="13.5" customHeight="1">
      <c r="A51" s="45"/>
      <c r="B51" s="45"/>
      <c r="C51" s="48" t="s">
        <v>457</v>
      </c>
      <c r="D51" s="737"/>
      <c r="E51" s="47"/>
      <c r="F51" s="47"/>
      <c r="G51" s="47"/>
      <c r="H51" s="47">
        <v>20000</v>
      </c>
      <c r="I51" s="47"/>
      <c r="J51" s="47"/>
      <c r="K51" s="47"/>
      <c r="L51" s="47"/>
      <c r="M51" s="47"/>
      <c r="N51" s="47"/>
      <c r="O51" s="41">
        <f>SUM(G51:N51)</f>
        <v>20000</v>
      </c>
      <c r="P51" s="316" t="s">
        <v>656</v>
      </c>
    </row>
    <row r="52" spans="1:16" ht="13.5" customHeight="1">
      <c r="A52" s="45"/>
      <c r="B52" s="45"/>
      <c r="C52" s="48" t="s">
        <v>458</v>
      </c>
      <c r="D52" s="737"/>
      <c r="E52" s="47"/>
      <c r="F52" s="47"/>
      <c r="G52" s="47"/>
      <c r="H52" s="47">
        <v>7000</v>
      </c>
      <c r="I52" s="47"/>
      <c r="J52" s="47"/>
      <c r="K52" s="47"/>
      <c r="L52" s="47"/>
      <c r="M52" s="47"/>
      <c r="N52" s="47"/>
      <c r="O52" s="41">
        <f>SUM(G52:N52)</f>
        <v>7000</v>
      </c>
      <c r="P52" s="316" t="s">
        <v>656</v>
      </c>
    </row>
    <row r="53" spans="1:16" ht="24.75" customHeight="1">
      <c r="A53" s="45"/>
      <c r="B53" s="45"/>
      <c r="C53" s="862" t="s">
        <v>593</v>
      </c>
      <c r="D53" s="871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1"/>
      <c r="P53" s="316"/>
    </row>
    <row r="54" spans="1:16" ht="13.5" customHeight="1">
      <c r="A54" s="45"/>
      <c r="B54" s="45"/>
      <c r="C54" s="874" t="s">
        <v>1167</v>
      </c>
      <c r="D54" s="865"/>
      <c r="E54" s="47"/>
      <c r="F54" s="47"/>
      <c r="G54" s="47">
        <v>32</v>
      </c>
      <c r="H54" s="47"/>
      <c r="I54" s="47"/>
      <c r="J54" s="47"/>
      <c r="K54" s="47"/>
      <c r="L54" s="47"/>
      <c r="M54" s="47"/>
      <c r="N54" s="47"/>
      <c r="O54" s="41">
        <f>SUM(G54:N54)</f>
        <v>32</v>
      </c>
      <c r="P54" s="316" t="s">
        <v>656</v>
      </c>
    </row>
    <row r="55" spans="1:16" ht="13.5" customHeight="1">
      <c r="A55" s="45"/>
      <c r="B55" s="45"/>
      <c r="C55" s="874" t="s">
        <v>990</v>
      </c>
      <c r="D55" s="865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1"/>
      <c r="P55" s="316"/>
    </row>
    <row r="56" spans="1:16" ht="24.75" customHeight="1">
      <c r="A56" s="45"/>
      <c r="B56" s="45"/>
      <c r="C56" s="890" t="s">
        <v>1168</v>
      </c>
      <c r="D56" s="891"/>
      <c r="E56" s="47"/>
      <c r="F56" s="47"/>
      <c r="G56" s="47"/>
      <c r="H56" s="47">
        <v>500</v>
      </c>
      <c r="I56" s="47"/>
      <c r="J56" s="47"/>
      <c r="K56" s="47"/>
      <c r="L56" s="47"/>
      <c r="M56" s="47"/>
      <c r="N56" s="47"/>
      <c r="O56" s="41">
        <f>SUM(G56:N56)</f>
        <v>500</v>
      </c>
      <c r="P56" s="316" t="s">
        <v>656</v>
      </c>
    </row>
    <row r="57" spans="1:16" ht="15" customHeight="1">
      <c r="A57" s="45"/>
      <c r="B57" s="45"/>
      <c r="C57" s="887" t="s">
        <v>468</v>
      </c>
      <c r="D57" s="888"/>
      <c r="E57" s="47"/>
      <c r="F57" s="47"/>
      <c r="G57" s="47">
        <v>-500</v>
      </c>
      <c r="H57" s="47"/>
      <c r="I57" s="47"/>
      <c r="J57" s="47"/>
      <c r="K57" s="47"/>
      <c r="L57" s="47"/>
      <c r="M57" s="47"/>
      <c r="N57" s="47"/>
      <c r="O57" s="41">
        <f>SUM(G57:N57)</f>
        <v>-500</v>
      </c>
      <c r="P57" s="316" t="s">
        <v>656</v>
      </c>
    </row>
    <row r="58" spans="1:16" ht="13.5" customHeight="1">
      <c r="A58" s="45"/>
      <c r="B58" s="45"/>
      <c r="C58" s="884" t="s">
        <v>1216</v>
      </c>
      <c r="D58" s="884"/>
      <c r="E58" s="47"/>
      <c r="F58" s="47"/>
      <c r="G58" s="47"/>
      <c r="H58" s="47"/>
      <c r="I58" s="47"/>
      <c r="J58" s="47"/>
      <c r="K58" s="47"/>
      <c r="L58" s="47"/>
      <c r="M58" s="47">
        <v>29000</v>
      </c>
      <c r="N58" s="47"/>
      <c r="O58" s="41">
        <f>SUM(G58:N58)</f>
        <v>29000</v>
      </c>
      <c r="P58" s="316" t="s">
        <v>656</v>
      </c>
    </row>
    <row r="59" spans="1:16" ht="13.5" customHeight="1">
      <c r="A59" s="49"/>
      <c r="B59" s="49"/>
      <c r="C59" s="50" t="s">
        <v>87</v>
      </c>
      <c r="D59" s="51"/>
      <c r="E59" s="52">
        <f aca="true" t="shared" si="6" ref="E59:O59">SUM(E49:E58)</f>
        <v>0</v>
      </c>
      <c r="F59" s="52">
        <f t="shared" si="6"/>
        <v>0</v>
      </c>
      <c r="G59" s="52">
        <f t="shared" si="6"/>
        <v>-468</v>
      </c>
      <c r="H59" s="52">
        <f t="shared" si="6"/>
        <v>31421</v>
      </c>
      <c r="I59" s="52">
        <f t="shared" si="6"/>
        <v>0</v>
      </c>
      <c r="J59" s="52">
        <f t="shared" si="6"/>
        <v>0</v>
      </c>
      <c r="K59" s="52">
        <f t="shared" si="6"/>
        <v>0</v>
      </c>
      <c r="L59" s="52">
        <f t="shared" si="6"/>
        <v>0</v>
      </c>
      <c r="M59" s="52">
        <f t="shared" si="6"/>
        <v>29000</v>
      </c>
      <c r="N59" s="52">
        <f t="shared" si="6"/>
        <v>0</v>
      </c>
      <c r="O59" s="52">
        <f t="shared" si="6"/>
        <v>59953</v>
      </c>
      <c r="P59" s="316"/>
    </row>
    <row r="60" spans="1:16" ht="13.5" customHeight="1">
      <c r="A60" s="64"/>
      <c r="B60" s="64"/>
      <c r="C60" s="885" t="s">
        <v>434</v>
      </c>
      <c r="D60" s="886"/>
      <c r="E60" s="64"/>
      <c r="F60" s="64"/>
      <c r="G60" s="64"/>
      <c r="H60" s="65"/>
      <c r="I60" s="302">
        <f>6!K44</f>
        <v>13724</v>
      </c>
      <c r="J60" s="303"/>
      <c r="K60" s="304"/>
      <c r="L60" s="269">
        <f>6!J44</f>
        <v>0</v>
      </c>
      <c r="M60" s="64"/>
      <c r="N60" s="64"/>
      <c r="O60" s="41">
        <f>SUM(E60:N60)</f>
        <v>13724</v>
      </c>
      <c r="P60" s="316"/>
    </row>
    <row r="61" spans="1:16" ht="13.5" customHeight="1">
      <c r="A61" s="62"/>
      <c r="B61" s="62"/>
      <c r="C61" s="59" t="s">
        <v>239</v>
      </c>
      <c r="D61" s="66"/>
      <c r="E61" s="63"/>
      <c r="F61" s="63"/>
      <c r="G61" s="63"/>
      <c r="H61" s="63"/>
      <c r="I61" s="321">
        <f>7!K31</f>
        <v>-3740</v>
      </c>
      <c r="J61" s="270"/>
      <c r="K61" s="271">
        <f>7!J31</f>
        <v>-1193</v>
      </c>
      <c r="L61" s="271"/>
      <c r="M61" s="61"/>
      <c r="N61" s="61"/>
      <c r="O61" s="41">
        <f>SUM(E61:N61)</f>
        <v>-4933</v>
      </c>
      <c r="P61" s="316"/>
    </row>
    <row r="62" spans="1:16" ht="13.5" customHeight="1">
      <c r="A62" s="49"/>
      <c r="B62" s="49"/>
      <c r="C62" s="50" t="s">
        <v>435</v>
      </c>
      <c r="D62" s="51"/>
      <c r="E62" s="52">
        <f aca="true" t="shared" si="7" ref="E62:O62">SUM(E59:E61)</f>
        <v>0</v>
      </c>
      <c r="F62" s="52">
        <f t="shared" si="7"/>
        <v>0</v>
      </c>
      <c r="G62" s="52">
        <f t="shared" si="7"/>
        <v>-468</v>
      </c>
      <c r="H62" s="52">
        <f t="shared" si="7"/>
        <v>31421</v>
      </c>
      <c r="I62" s="52">
        <f t="shared" si="7"/>
        <v>9984</v>
      </c>
      <c r="J62" s="52">
        <f t="shared" si="7"/>
        <v>0</v>
      </c>
      <c r="K62" s="52">
        <f t="shared" si="7"/>
        <v>-1193</v>
      </c>
      <c r="L62" s="52">
        <f t="shared" si="7"/>
        <v>0</v>
      </c>
      <c r="M62" s="52">
        <f t="shared" si="7"/>
        <v>29000</v>
      </c>
      <c r="N62" s="52">
        <f t="shared" si="7"/>
        <v>0</v>
      </c>
      <c r="O62" s="50">
        <f t="shared" si="7"/>
        <v>68744</v>
      </c>
      <c r="P62" s="316"/>
    </row>
    <row r="63" spans="1:16" ht="13.5" customHeight="1">
      <c r="A63" s="58">
        <v>1</v>
      </c>
      <c r="B63" s="58">
        <v>15</v>
      </c>
      <c r="C63" s="67" t="s">
        <v>436</v>
      </c>
      <c r="D63" s="60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41"/>
      <c r="P63" s="316"/>
    </row>
    <row r="64" spans="1:16" ht="13.5" customHeight="1">
      <c r="A64" s="58"/>
      <c r="B64" s="58"/>
      <c r="C64" s="866" t="s">
        <v>594</v>
      </c>
      <c r="D64" s="873"/>
      <c r="E64" s="61"/>
      <c r="F64" s="75"/>
      <c r="G64" s="61"/>
      <c r="H64" s="61"/>
      <c r="I64" s="61"/>
      <c r="J64" s="61"/>
      <c r="K64" s="61"/>
      <c r="L64" s="61"/>
      <c r="M64" s="61"/>
      <c r="N64" s="61"/>
      <c r="O64" s="41"/>
      <c r="P64" s="316"/>
    </row>
    <row r="65" spans="1:16" ht="13.5" customHeight="1">
      <c r="A65" s="58"/>
      <c r="B65" s="58"/>
      <c r="C65" s="874" t="s">
        <v>694</v>
      </c>
      <c r="D65" s="836"/>
      <c r="E65" s="61"/>
      <c r="F65" s="75"/>
      <c r="G65" s="61">
        <v>3463</v>
      </c>
      <c r="H65" s="61"/>
      <c r="I65" s="61"/>
      <c r="J65" s="61"/>
      <c r="K65" s="61"/>
      <c r="L65" s="61"/>
      <c r="M65" s="61"/>
      <c r="N65" s="61"/>
      <c r="O65" s="41">
        <f>SUM(E65:N65)</f>
        <v>3463</v>
      </c>
      <c r="P65" s="316" t="s">
        <v>1169</v>
      </c>
    </row>
    <row r="66" spans="1:16" ht="13.5" customHeight="1">
      <c r="A66" s="58"/>
      <c r="B66" s="58"/>
      <c r="C66" s="59" t="s">
        <v>935</v>
      </c>
      <c r="D66" s="314"/>
      <c r="E66" s="61"/>
      <c r="F66" s="75"/>
      <c r="G66" s="61">
        <v>375</v>
      </c>
      <c r="H66" s="61"/>
      <c r="I66" s="61"/>
      <c r="J66" s="61"/>
      <c r="K66" s="61"/>
      <c r="L66" s="61"/>
      <c r="M66" s="61"/>
      <c r="N66" s="61"/>
      <c r="O66" s="41">
        <f>SUM(E66:N66)</f>
        <v>375</v>
      </c>
      <c r="P66" s="316" t="s">
        <v>656</v>
      </c>
    </row>
    <row r="67" spans="1:16" ht="13.5" customHeight="1">
      <c r="A67" s="58"/>
      <c r="B67" s="58"/>
      <c r="C67" s="68" t="s">
        <v>1170</v>
      </c>
      <c r="D67" s="314"/>
      <c r="E67" s="61"/>
      <c r="F67" s="75"/>
      <c r="G67" s="61">
        <v>-500</v>
      </c>
      <c r="H67" s="61"/>
      <c r="I67" s="61"/>
      <c r="J67" s="61"/>
      <c r="K67" s="61"/>
      <c r="L67" s="61"/>
      <c r="M67" s="61"/>
      <c r="N67" s="61"/>
      <c r="O67" s="41">
        <f>SUM(E67:N67)</f>
        <v>-500</v>
      </c>
      <c r="P67" s="316" t="s">
        <v>1171</v>
      </c>
    </row>
    <row r="68" spans="1:16" ht="24.75" customHeight="1">
      <c r="A68" s="58"/>
      <c r="B68" s="58"/>
      <c r="C68" s="869" t="s">
        <v>1172</v>
      </c>
      <c r="D68" s="871"/>
      <c r="E68" s="61"/>
      <c r="F68" s="75"/>
      <c r="G68" s="61"/>
      <c r="H68" s="61"/>
      <c r="I68" s="61"/>
      <c r="J68" s="61"/>
      <c r="K68" s="61"/>
      <c r="L68" s="61"/>
      <c r="M68" s="61"/>
      <c r="N68" s="61"/>
      <c r="O68" s="41"/>
      <c r="P68" s="316"/>
    </row>
    <row r="69" spans="1:16" ht="13.5" customHeight="1">
      <c r="A69" s="58"/>
      <c r="B69" s="58"/>
      <c r="C69" s="59" t="s">
        <v>1173</v>
      </c>
      <c r="D69" s="60"/>
      <c r="E69" s="61"/>
      <c r="F69" s="75"/>
      <c r="G69" s="61">
        <v>-1871</v>
      </c>
      <c r="H69" s="61"/>
      <c r="I69" s="61"/>
      <c r="J69" s="61"/>
      <c r="K69" s="61"/>
      <c r="L69" s="61"/>
      <c r="M69" s="61"/>
      <c r="N69" s="61"/>
      <c r="O69" s="41">
        <f>SUM(E69:N69)</f>
        <v>-1871</v>
      </c>
      <c r="P69" s="316" t="s">
        <v>1171</v>
      </c>
    </row>
    <row r="70" spans="1:16" ht="13.5" customHeight="1">
      <c r="A70" s="58"/>
      <c r="B70" s="58"/>
      <c r="C70" s="59" t="s">
        <v>718</v>
      </c>
      <c r="D70" s="60"/>
      <c r="E70" s="61"/>
      <c r="F70" s="75"/>
      <c r="G70" s="61">
        <v>2000</v>
      </c>
      <c r="H70" s="61"/>
      <c r="I70" s="61"/>
      <c r="J70" s="61"/>
      <c r="K70" s="61"/>
      <c r="L70" s="61"/>
      <c r="M70" s="61"/>
      <c r="N70" s="61"/>
      <c r="O70" s="41">
        <f>SUM(E70:N70)</f>
        <v>2000</v>
      </c>
      <c r="P70" s="316" t="s">
        <v>656</v>
      </c>
    </row>
    <row r="71" spans="1:16" ht="13.5" customHeight="1">
      <c r="A71" s="58"/>
      <c r="B71" s="58"/>
      <c r="C71" s="59" t="s">
        <v>993</v>
      </c>
      <c r="D71" s="60"/>
      <c r="E71" s="61"/>
      <c r="F71" s="75"/>
      <c r="G71" s="61"/>
      <c r="H71" s="61"/>
      <c r="I71" s="61"/>
      <c r="J71" s="61"/>
      <c r="K71" s="61"/>
      <c r="L71" s="61"/>
      <c r="M71" s="61"/>
      <c r="N71" s="61"/>
      <c r="O71" s="41"/>
      <c r="P71" s="316"/>
    </row>
    <row r="72" spans="1:16" ht="13.5" customHeight="1">
      <c r="A72" s="58"/>
      <c r="B72" s="58"/>
      <c r="C72" s="869" t="s">
        <v>930</v>
      </c>
      <c r="D72" s="871"/>
      <c r="E72" s="61"/>
      <c r="F72" s="75"/>
      <c r="G72" s="61"/>
      <c r="H72" s="61">
        <v>650</v>
      </c>
      <c r="I72" s="61"/>
      <c r="J72" s="61"/>
      <c r="K72" s="61"/>
      <c r="L72" s="61"/>
      <c r="M72" s="61"/>
      <c r="N72" s="61"/>
      <c r="O72" s="41">
        <f>SUM(E72:N72)</f>
        <v>650</v>
      </c>
      <c r="P72" s="316" t="s">
        <v>696</v>
      </c>
    </row>
    <row r="73" spans="1:16" ht="13.5" customHeight="1">
      <c r="A73" s="58"/>
      <c r="B73" s="58"/>
      <c r="C73" s="866" t="s">
        <v>462</v>
      </c>
      <c r="D73" s="865"/>
      <c r="E73" s="61"/>
      <c r="F73" s="75"/>
      <c r="G73" s="61"/>
      <c r="H73" s="61"/>
      <c r="I73" s="61"/>
      <c r="J73" s="61"/>
      <c r="K73" s="61"/>
      <c r="L73" s="61"/>
      <c r="M73" s="61"/>
      <c r="N73" s="61"/>
      <c r="O73" s="41"/>
      <c r="P73" s="316"/>
    </row>
    <row r="74" spans="1:16" ht="13.5" customHeight="1">
      <c r="A74" s="58"/>
      <c r="B74" s="58"/>
      <c r="C74" s="68" t="s">
        <v>726</v>
      </c>
      <c r="D74" s="477"/>
      <c r="E74" s="61"/>
      <c r="F74" s="75"/>
      <c r="G74" s="61">
        <v>40</v>
      </c>
      <c r="H74" s="61"/>
      <c r="I74" s="61"/>
      <c r="J74" s="61"/>
      <c r="K74" s="61"/>
      <c r="L74" s="61"/>
      <c r="M74" s="61"/>
      <c r="N74" s="61"/>
      <c r="O74" s="41">
        <f aca="true" t="shared" si="8" ref="O74:O91">SUM(E74:N74)</f>
        <v>40</v>
      </c>
      <c r="P74" s="316" t="s">
        <v>656</v>
      </c>
    </row>
    <row r="75" spans="1:16" ht="13.5" customHeight="1">
      <c r="A75" s="58"/>
      <c r="B75" s="58"/>
      <c r="C75" s="59" t="s">
        <v>1174</v>
      </c>
      <c r="D75" s="477"/>
      <c r="E75" s="61"/>
      <c r="F75" s="75"/>
      <c r="G75" s="61">
        <v>1025</v>
      </c>
      <c r="H75" s="61"/>
      <c r="I75" s="61"/>
      <c r="J75" s="61"/>
      <c r="K75" s="61"/>
      <c r="L75" s="61"/>
      <c r="M75" s="61"/>
      <c r="N75" s="61"/>
      <c r="O75" s="41">
        <f t="shared" si="8"/>
        <v>1025</v>
      </c>
      <c r="P75" s="316" t="s">
        <v>1171</v>
      </c>
    </row>
    <row r="76" spans="1:16" ht="13.5" customHeight="1">
      <c r="A76" s="58"/>
      <c r="B76" s="58"/>
      <c r="C76" s="59" t="s">
        <v>1175</v>
      </c>
      <c r="D76" s="477"/>
      <c r="E76" s="61"/>
      <c r="F76" s="75"/>
      <c r="G76" s="61">
        <v>4500</v>
      </c>
      <c r="H76" s="61"/>
      <c r="I76" s="61"/>
      <c r="J76" s="61"/>
      <c r="K76" s="61"/>
      <c r="L76" s="61"/>
      <c r="M76" s="61"/>
      <c r="N76" s="61"/>
      <c r="O76" s="41">
        <f t="shared" si="8"/>
        <v>4500</v>
      </c>
      <c r="P76" s="316" t="s">
        <v>1176</v>
      </c>
    </row>
    <row r="77" spans="1:16" ht="13.5" customHeight="1">
      <c r="A77" s="58"/>
      <c r="B77" s="58"/>
      <c r="C77" s="48" t="s">
        <v>1177</v>
      </c>
      <c r="D77" s="48"/>
      <c r="E77" s="61"/>
      <c r="F77" s="75"/>
      <c r="G77" s="61">
        <v>1000</v>
      </c>
      <c r="H77" s="61"/>
      <c r="I77" s="61"/>
      <c r="J77" s="61"/>
      <c r="K77" s="61"/>
      <c r="L77" s="61"/>
      <c r="M77" s="61"/>
      <c r="N77" s="61"/>
      <c r="O77" s="41">
        <f t="shared" si="8"/>
        <v>1000</v>
      </c>
      <c r="P77" s="316" t="s">
        <v>1171</v>
      </c>
    </row>
    <row r="78" spans="1:16" ht="13.5" customHeight="1">
      <c r="A78" s="58"/>
      <c r="B78" s="58"/>
      <c r="C78" s="59" t="s">
        <v>1178</v>
      </c>
      <c r="D78" s="746"/>
      <c r="E78" s="61"/>
      <c r="F78" s="75"/>
      <c r="G78" s="61">
        <v>10392</v>
      </c>
      <c r="H78" s="61"/>
      <c r="I78" s="61"/>
      <c r="J78" s="61"/>
      <c r="K78" s="61"/>
      <c r="L78" s="61"/>
      <c r="M78" s="61"/>
      <c r="N78" s="61"/>
      <c r="O78" s="41">
        <f t="shared" si="8"/>
        <v>10392</v>
      </c>
      <c r="P78" s="316" t="s">
        <v>656</v>
      </c>
    </row>
    <row r="79" spans="1:16" ht="13.5" customHeight="1">
      <c r="A79" s="58"/>
      <c r="B79" s="58"/>
      <c r="C79" s="59" t="s">
        <v>1179</v>
      </c>
      <c r="D79" s="59"/>
      <c r="E79" s="61"/>
      <c r="F79" s="75"/>
      <c r="G79" s="61">
        <v>2499</v>
      </c>
      <c r="H79" s="61"/>
      <c r="I79" s="61"/>
      <c r="J79" s="61"/>
      <c r="K79" s="61"/>
      <c r="L79" s="61"/>
      <c r="M79" s="61"/>
      <c r="N79" s="61"/>
      <c r="O79" s="41">
        <f t="shared" si="8"/>
        <v>2499</v>
      </c>
      <c r="P79" s="316" t="s">
        <v>656</v>
      </c>
    </row>
    <row r="80" spans="1:16" ht="13.5" customHeight="1">
      <c r="A80" s="58"/>
      <c r="B80" s="58"/>
      <c r="C80" s="59" t="s">
        <v>11</v>
      </c>
      <c r="D80" s="781"/>
      <c r="E80" s="61"/>
      <c r="F80" s="75"/>
      <c r="G80" s="61">
        <v>500</v>
      </c>
      <c r="H80" s="61"/>
      <c r="I80" s="61"/>
      <c r="J80" s="61"/>
      <c r="K80" s="61"/>
      <c r="L80" s="61"/>
      <c r="M80" s="61"/>
      <c r="N80" s="61"/>
      <c r="O80" s="41">
        <f t="shared" si="8"/>
        <v>500</v>
      </c>
      <c r="P80" s="316" t="s">
        <v>656</v>
      </c>
    </row>
    <row r="81" spans="1:16" ht="36" customHeight="1">
      <c r="A81" s="58"/>
      <c r="B81" s="58"/>
      <c r="C81" s="881" t="s">
        <v>1180</v>
      </c>
      <c r="D81" s="882"/>
      <c r="E81" s="61"/>
      <c r="F81" s="75"/>
      <c r="G81" s="61"/>
      <c r="H81" s="61"/>
      <c r="I81" s="61"/>
      <c r="J81" s="61"/>
      <c r="K81" s="61"/>
      <c r="L81" s="61"/>
      <c r="M81" s="61">
        <v>2031</v>
      </c>
      <c r="N81" s="61"/>
      <c r="O81" s="41">
        <f t="shared" si="8"/>
        <v>2031</v>
      </c>
      <c r="P81" s="316" t="s">
        <v>656</v>
      </c>
    </row>
    <row r="82" spans="1:16" ht="13.5" customHeight="1">
      <c r="A82" s="58"/>
      <c r="B82" s="58"/>
      <c r="C82" s="874" t="s">
        <v>1181</v>
      </c>
      <c r="D82" s="865"/>
      <c r="E82" s="61"/>
      <c r="F82" s="75"/>
      <c r="G82" s="61"/>
      <c r="H82" s="61"/>
      <c r="I82" s="61"/>
      <c r="J82" s="61"/>
      <c r="K82" s="61"/>
      <c r="L82" s="61"/>
      <c r="M82" s="61"/>
      <c r="N82" s="61"/>
      <c r="O82" s="41"/>
      <c r="P82" s="316"/>
    </row>
    <row r="83" spans="1:16" ht="13.5" customHeight="1">
      <c r="A83" s="58"/>
      <c r="B83" s="58"/>
      <c r="C83" s="68" t="s">
        <v>1182</v>
      </c>
      <c r="D83" s="477"/>
      <c r="E83" s="61"/>
      <c r="F83" s="75"/>
      <c r="G83" s="61">
        <v>324</v>
      </c>
      <c r="H83" s="61"/>
      <c r="I83" s="61"/>
      <c r="J83" s="61"/>
      <c r="K83" s="61"/>
      <c r="L83" s="61"/>
      <c r="M83" s="61"/>
      <c r="N83" s="61"/>
      <c r="O83" s="41">
        <f t="shared" si="8"/>
        <v>324</v>
      </c>
      <c r="P83" s="316" t="s">
        <v>656</v>
      </c>
    </row>
    <row r="84" spans="1:16" ht="24.75" customHeight="1">
      <c r="A84" s="58"/>
      <c r="B84" s="58"/>
      <c r="C84" s="869" t="s">
        <v>737</v>
      </c>
      <c r="D84" s="865"/>
      <c r="E84" s="61"/>
      <c r="F84" s="75"/>
      <c r="G84" s="61">
        <v>5000</v>
      </c>
      <c r="H84" s="61"/>
      <c r="I84" s="61"/>
      <c r="J84" s="61"/>
      <c r="K84" s="61"/>
      <c r="L84" s="61"/>
      <c r="M84" s="61"/>
      <c r="N84" s="61"/>
      <c r="O84" s="41">
        <f t="shared" si="8"/>
        <v>5000</v>
      </c>
      <c r="P84" s="316" t="s">
        <v>656</v>
      </c>
    </row>
    <row r="85" spans="1:16" ht="15" customHeight="1">
      <c r="A85" s="58"/>
      <c r="B85" s="58"/>
      <c r="C85" s="869" t="s">
        <v>9</v>
      </c>
      <c r="D85" s="836"/>
      <c r="E85" s="61"/>
      <c r="F85" s="75"/>
      <c r="G85" s="61">
        <v>2163</v>
      </c>
      <c r="H85" s="61"/>
      <c r="I85" s="61"/>
      <c r="J85" s="61"/>
      <c r="K85" s="61"/>
      <c r="L85" s="61"/>
      <c r="M85" s="61"/>
      <c r="N85" s="61"/>
      <c r="O85" s="41">
        <f t="shared" si="8"/>
        <v>2163</v>
      </c>
      <c r="P85" s="316" t="s">
        <v>656</v>
      </c>
    </row>
    <row r="86" spans="1:16" ht="24.75" customHeight="1">
      <c r="A86" s="58"/>
      <c r="B86" s="58"/>
      <c r="C86" s="862" t="s">
        <v>51</v>
      </c>
      <c r="D86" s="878"/>
      <c r="E86" s="61"/>
      <c r="F86" s="75"/>
      <c r="G86" s="61"/>
      <c r="H86" s="61"/>
      <c r="I86" s="61"/>
      <c r="J86" s="61"/>
      <c r="K86" s="61"/>
      <c r="L86" s="61"/>
      <c r="M86" s="61"/>
      <c r="N86" s="61"/>
      <c r="O86" s="41"/>
      <c r="P86" s="316"/>
    </row>
    <row r="87" spans="1:16" ht="24.75" customHeight="1">
      <c r="A87" s="58"/>
      <c r="B87" s="58"/>
      <c r="C87" s="867" t="s">
        <v>725</v>
      </c>
      <c r="D87" s="868"/>
      <c r="E87" s="61">
        <v>780</v>
      </c>
      <c r="F87" s="75">
        <v>105</v>
      </c>
      <c r="G87" s="61"/>
      <c r="H87" s="61"/>
      <c r="I87" s="61"/>
      <c r="J87" s="61"/>
      <c r="K87" s="61"/>
      <c r="L87" s="61"/>
      <c r="M87" s="61"/>
      <c r="N87" s="61"/>
      <c r="O87" s="41">
        <f>SUM(E87:N87)</f>
        <v>885</v>
      </c>
      <c r="P87" s="316" t="s">
        <v>656</v>
      </c>
    </row>
    <row r="88" spans="1:16" ht="13.5" customHeight="1">
      <c r="A88" s="58"/>
      <c r="B88" s="58"/>
      <c r="C88" s="866" t="s">
        <v>721</v>
      </c>
      <c r="D88" s="865"/>
      <c r="E88" s="61"/>
      <c r="F88" s="75"/>
      <c r="G88" s="61"/>
      <c r="H88" s="61"/>
      <c r="I88" s="61"/>
      <c r="J88" s="61"/>
      <c r="K88" s="61"/>
      <c r="L88" s="61"/>
      <c r="M88" s="61"/>
      <c r="N88" s="61"/>
      <c r="O88" s="41"/>
      <c r="P88" s="316"/>
    </row>
    <row r="89" spans="1:16" ht="13.5" customHeight="1">
      <c r="A89" s="58"/>
      <c r="B89" s="58"/>
      <c r="C89" s="59" t="s">
        <v>729</v>
      </c>
      <c r="D89" s="477"/>
      <c r="E89" s="61"/>
      <c r="F89" s="75"/>
      <c r="G89" s="61">
        <v>5483</v>
      </c>
      <c r="H89" s="61"/>
      <c r="I89" s="61"/>
      <c r="J89" s="61"/>
      <c r="K89" s="61"/>
      <c r="L89" s="61"/>
      <c r="M89" s="61"/>
      <c r="N89" s="61"/>
      <c r="O89" s="41">
        <f>SUM(E89:N89)</f>
        <v>5483</v>
      </c>
      <c r="P89" s="316" t="s">
        <v>656</v>
      </c>
    </row>
    <row r="90" spans="1:16" ht="13.5" customHeight="1">
      <c r="A90" s="58"/>
      <c r="B90" s="58"/>
      <c r="C90" s="68" t="s">
        <v>730</v>
      </c>
      <c r="D90" s="477"/>
      <c r="E90" s="61"/>
      <c r="F90" s="75"/>
      <c r="G90" s="61"/>
      <c r="H90" s="61">
        <v>7084</v>
      </c>
      <c r="I90" s="61"/>
      <c r="J90" s="61"/>
      <c r="K90" s="61"/>
      <c r="L90" s="61"/>
      <c r="M90" s="61"/>
      <c r="N90" s="61"/>
      <c r="O90" s="41">
        <f>SUM(E90:N90)</f>
        <v>7084</v>
      </c>
      <c r="P90" s="316" t="s">
        <v>656</v>
      </c>
    </row>
    <row r="91" spans="1:16" ht="13.5" customHeight="1">
      <c r="A91" s="58"/>
      <c r="B91" s="58"/>
      <c r="C91" s="874" t="s">
        <v>722</v>
      </c>
      <c r="D91" s="836"/>
      <c r="E91" s="61"/>
      <c r="F91" s="75"/>
      <c r="G91" s="61">
        <v>2400</v>
      </c>
      <c r="H91" s="61"/>
      <c r="I91" s="61"/>
      <c r="J91" s="61"/>
      <c r="K91" s="61"/>
      <c r="L91" s="61"/>
      <c r="M91" s="61"/>
      <c r="N91" s="61"/>
      <c r="O91" s="41">
        <f t="shared" si="8"/>
        <v>2400</v>
      </c>
      <c r="P91" s="316" t="s">
        <v>1171</v>
      </c>
    </row>
    <row r="92" spans="1:16" ht="13.5" customHeight="1">
      <c r="A92" s="49"/>
      <c r="B92" s="49"/>
      <c r="C92" s="71" t="s">
        <v>437</v>
      </c>
      <c r="D92" s="51"/>
      <c r="E92" s="52">
        <f aca="true" t="shared" si="9" ref="E92:O92">SUM(E64:E91)</f>
        <v>780</v>
      </c>
      <c r="F92" s="52">
        <f t="shared" si="9"/>
        <v>105</v>
      </c>
      <c r="G92" s="52">
        <f t="shared" si="9"/>
        <v>38793</v>
      </c>
      <c r="H92" s="52">
        <f t="shared" si="9"/>
        <v>7734</v>
      </c>
      <c r="I92" s="52">
        <f t="shared" si="9"/>
        <v>0</v>
      </c>
      <c r="J92" s="52">
        <f t="shared" si="9"/>
        <v>0</v>
      </c>
      <c r="K92" s="52">
        <f t="shared" si="9"/>
        <v>0</v>
      </c>
      <c r="L92" s="52">
        <f t="shared" si="9"/>
        <v>0</v>
      </c>
      <c r="M92" s="52">
        <f t="shared" si="9"/>
        <v>2031</v>
      </c>
      <c r="N92" s="52">
        <f t="shared" si="9"/>
        <v>0</v>
      </c>
      <c r="O92" s="52">
        <f t="shared" si="9"/>
        <v>49443</v>
      </c>
      <c r="P92" s="316"/>
    </row>
    <row r="93" spans="1:16" ht="13.5" customHeight="1">
      <c r="A93" s="69"/>
      <c r="B93" s="69"/>
      <c r="C93" s="53" t="s">
        <v>239</v>
      </c>
      <c r="D93" s="53"/>
      <c r="E93" s="70"/>
      <c r="F93" s="70"/>
      <c r="G93" s="70"/>
      <c r="H93" s="70"/>
      <c r="I93" s="272">
        <f>7!K105</f>
        <v>0</v>
      </c>
      <c r="J93" s="272"/>
      <c r="K93" s="273">
        <f>7!J105</f>
        <v>19958</v>
      </c>
      <c r="L93" s="272"/>
      <c r="M93" s="70"/>
      <c r="N93" s="70"/>
      <c r="O93" s="41">
        <f>SUM(E93:N93)</f>
        <v>19958</v>
      </c>
      <c r="P93" s="316"/>
    </row>
    <row r="94" spans="1:16" ht="13.5" customHeight="1">
      <c r="A94" s="62"/>
      <c r="B94" s="62"/>
      <c r="C94" s="59" t="s">
        <v>240</v>
      </c>
      <c r="D94" s="66"/>
      <c r="E94" s="63"/>
      <c r="F94" s="63"/>
      <c r="G94" s="63"/>
      <c r="H94" s="63"/>
      <c r="I94" s="271">
        <f>6!K140</f>
        <v>329</v>
      </c>
      <c r="J94" s="270"/>
      <c r="K94" s="270"/>
      <c r="L94" s="271">
        <f>6!J140</f>
        <v>17817</v>
      </c>
      <c r="M94" s="61"/>
      <c r="N94" s="61"/>
      <c r="O94" s="41">
        <f>SUM(E94:N94)</f>
        <v>18146</v>
      </c>
      <c r="P94" s="316"/>
    </row>
    <row r="95" spans="1:16" ht="13.5" customHeight="1">
      <c r="A95" s="49"/>
      <c r="B95" s="49"/>
      <c r="C95" s="50" t="s">
        <v>438</v>
      </c>
      <c r="D95" s="51"/>
      <c r="E95" s="52">
        <f aca="true" t="shared" si="10" ref="E95:O95">SUM(E92:E94)</f>
        <v>780</v>
      </c>
      <c r="F95" s="52">
        <f t="shared" si="10"/>
        <v>105</v>
      </c>
      <c r="G95" s="52">
        <f t="shared" si="10"/>
        <v>38793</v>
      </c>
      <c r="H95" s="52">
        <f t="shared" si="10"/>
        <v>7734</v>
      </c>
      <c r="I95" s="52">
        <f t="shared" si="10"/>
        <v>329</v>
      </c>
      <c r="J95" s="52">
        <f t="shared" si="10"/>
        <v>0</v>
      </c>
      <c r="K95" s="52">
        <f t="shared" si="10"/>
        <v>19958</v>
      </c>
      <c r="L95" s="52">
        <f t="shared" si="10"/>
        <v>17817</v>
      </c>
      <c r="M95" s="52">
        <f t="shared" si="10"/>
        <v>2031</v>
      </c>
      <c r="N95" s="52">
        <f t="shared" si="10"/>
        <v>0</v>
      </c>
      <c r="O95" s="50">
        <f t="shared" si="10"/>
        <v>87547</v>
      </c>
      <c r="P95" s="316"/>
    </row>
    <row r="96" spans="1:16" ht="13.5" customHeight="1">
      <c r="A96" s="58">
        <v>1</v>
      </c>
      <c r="B96" s="58">
        <v>16</v>
      </c>
      <c r="C96" s="67" t="s">
        <v>439</v>
      </c>
      <c r="D96" s="60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41"/>
      <c r="P96" s="316"/>
    </row>
    <row r="97" spans="1:16" ht="13.5" customHeight="1">
      <c r="A97" s="62"/>
      <c r="B97" s="62"/>
      <c r="C97" s="67" t="s">
        <v>164</v>
      </c>
      <c r="D97" s="66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316"/>
    </row>
    <row r="98" spans="1:16" ht="13.5" customHeight="1">
      <c r="A98" s="58"/>
      <c r="B98" s="58"/>
      <c r="C98" s="59" t="s">
        <v>678</v>
      </c>
      <c r="D98" s="60"/>
      <c r="E98" s="61"/>
      <c r="F98" s="61"/>
      <c r="G98" s="61"/>
      <c r="H98" s="61"/>
      <c r="I98" s="271">
        <f>6!K244</f>
        <v>60868</v>
      </c>
      <c r="J98" s="271"/>
      <c r="K98" s="271"/>
      <c r="L98" s="271">
        <f>6!J244</f>
        <v>244557</v>
      </c>
      <c r="M98" s="61"/>
      <c r="N98" s="61"/>
      <c r="O98" s="41">
        <f>SUM(E98:N98)</f>
        <v>305425</v>
      </c>
      <c r="P98" s="316"/>
    </row>
    <row r="99" spans="1:16" ht="13.5" customHeight="1">
      <c r="A99" s="58"/>
      <c r="B99" s="58"/>
      <c r="C99" s="59" t="s">
        <v>155</v>
      </c>
      <c r="D99" s="60"/>
      <c r="E99" s="61"/>
      <c r="F99" s="61"/>
      <c r="G99" s="61"/>
      <c r="H99" s="61"/>
      <c r="I99" s="61">
        <f>7!K114</f>
        <v>0</v>
      </c>
      <c r="J99" s="61"/>
      <c r="K99" s="61">
        <f>7!J114</f>
        <v>6000</v>
      </c>
      <c r="L99" s="61"/>
      <c r="M99" s="61"/>
      <c r="N99" s="61"/>
      <c r="O99" s="41">
        <f>SUM(E99:N99)</f>
        <v>6000</v>
      </c>
      <c r="P99" s="316"/>
    </row>
    <row r="100" spans="1:16" ht="13.5" customHeight="1">
      <c r="A100" s="49"/>
      <c r="B100" s="49"/>
      <c r="C100" s="50" t="s">
        <v>447</v>
      </c>
      <c r="D100" s="51"/>
      <c r="E100" s="52">
        <f aca="true" t="shared" si="11" ref="E100:L100">SUM(E97:E99)</f>
        <v>0</v>
      </c>
      <c r="F100" s="52">
        <f t="shared" si="11"/>
        <v>0</v>
      </c>
      <c r="G100" s="52">
        <f t="shared" si="11"/>
        <v>0</v>
      </c>
      <c r="H100" s="52">
        <f t="shared" si="11"/>
        <v>0</v>
      </c>
      <c r="I100" s="52">
        <f t="shared" si="11"/>
        <v>60868</v>
      </c>
      <c r="J100" s="52">
        <f t="shared" si="11"/>
        <v>0</v>
      </c>
      <c r="K100" s="52">
        <f t="shared" si="11"/>
        <v>6000</v>
      </c>
      <c r="L100" s="52">
        <f t="shared" si="11"/>
        <v>244557</v>
      </c>
      <c r="M100" s="52">
        <f>SUM(M97:M97)</f>
        <v>0</v>
      </c>
      <c r="N100" s="52">
        <f>SUM(N97:N99)</f>
        <v>0</v>
      </c>
      <c r="O100" s="52">
        <f>SUM(O97:O99)</f>
        <v>311425</v>
      </c>
      <c r="P100" s="316"/>
    </row>
    <row r="101" spans="1:16" ht="13.5" customHeight="1">
      <c r="A101" s="58">
        <v>1</v>
      </c>
      <c r="B101" s="58">
        <v>17</v>
      </c>
      <c r="C101" s="67" t="s">
        <v>559</v>
      </c>
      <c r="D101" s="60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5"/>
      <c r="P101" s="316"/>
    </row>
    <row r="102" spans="1:16" ht="13.5" customHeight="1">
      <c r="A102" s="58"/>
      <c r="B102" s="58"/>
      <c r="C102" s="874" t="s">
        <v>1172</v>
      </c>
      <c r="D102" s="865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  <c r="P102" s="316"/>
    </row>
    <row r="103" spans="1:16" ht="24.75" customHeight="1">
      <c r="A103" s="57"/>
      <c r="B103" s="57"/>
      <c r="C103" s="880" t="s">
        <v>732</v>
      </c>
      <c r="D103" s="836"/>
      <c r="E103" s="54"/>
      <c r="F103" s="54"/>
      <c r="G103" s="47">
        <v>500</v>
      </c>
      <c r="H103" s="54"/>
      <c r="I103" s="54"/>
      <c r="J103" s="54"/>
      <c r="K103" s="54"/>
      <c r="L103" s="54"/>
      <c r="M103" s="54"/>
      <c r="N103" s="54"/>
      <c r="O103" s="48">
        <f>SUM(G103:N103)</f>
        <v>500</v>
      </c>
      <c r="P103" s="316" t="s">
        <v>656</v>
      </c>
    </row>
    <row r="104" spans="1:16" ht="24.75" customHeight="1">
      <c r="A104" s="57"/>
      <c r="B104" s="57"/>
      <c r="C104" s="861" t="s">
        <v>893</v>
      </c>
      <c r="D104" s="908"/>
      <c r="E104" s="54"/>
      <c r="F104" s="54"/>
      <c r="G104" s="47"/>
      <c r="H104" s="54"/>
      <c r="I104" s="54"/>
      <c r="J104" s="54"/>
      <c r="K104" s="54"/>
      <c r="L104" s="54"/>
      <c r="M104" s="54"/>
      <c r="N104" s="54"/>
      <c r="O104" s="48"/>
      <c r="P104" s="316"/>
    </row>
    <row r="105" spans="1:16" ht="24.75" customHeight="1">
      <c r="A105" s="57"/>
      <c r="B105" s="57"/>
      <c r="C105" s="869" t="s">
        <v>894</v>
      </c>
      <c r="D105" s="868"/>
      <c r="E105" s="54"/>
      <c r="F105" s="54"/>
      <c r="G105" s="47">
        <v>-900</v>
      </c>
      <c r="H105" s="54"/>
      <c r="I105" s="54"/>
      <c r="J105" s="54"/>
      <c r="K105" s="54"/>
      <c r="L105" s="54"/>
      <c r="M105" s="54"/>
      <c r="N105" s="54"/>
      <c r="O105" s="48">
        <v>-900</v>
      </c>
      <c r="P105" s="316" t="s">
        <v>1171</v>
      </c>
    </row>
    <row r="106" spans="1:16" ht="15" customHeight="1">
      <c r="A106" s="57"/>
      <c r="B106" s="57"/>
      <c r="C106" s="880" t="s">
        <v>8</v>
      </c>
      <c r="D106" s="836"/>
      <c r="E106" s="54"/>
      <c r="F106" s="54"/>
      <c r="G106" s="47">
        <v>500</v>
      </c>
      <c r="H106" s="54"/>
      <c r="I106" s="54"/>
      <c r="J106" s="54"/>
      <c r="K106" s="54"/>
      <c r="L106" s="54"/>
      <c r="M106" s="54"/>
      <c r="N106" s="54"/>
      <c r="O106" s="48">
        <v>500</v>
      </c>
      <c r="P106" s="316" t="s">
        <v>656</v>
      </c>
    </row>
    <row r="107" spans="1:16" ht="12.75" customHeight="1">
      <c r="A107" s="49"/>
      <c r="B107" s="49"/>
      <c r="C107" s="50" t="s">
        <v>560</v>
      </c>
      <c r="D107" s="51"/>
      <c r="E107" s="52">
        <f>SUM(E103:E106)</f>
        <v>0</v>
      </c>
      <c r="F107" s="52">
        <f aca="true" t="shared" si="12" ref="F107:O107">SUM(F103:F106)</f>
        <v>0</v>
      </c>
      <c r="G107" s="52">
        <f t="shared" si="12"/>
        <v>100</v>
      </c>
      <c r="H107" s="52">
        <f t="shared" si="12"/>
        <v>0</v>
      </c>
      <c r="I107" s="52">
        <f t="shared" si="12"/>
        <v>0</v>
      </c>
      <c r="J107" s="52">
        <f t="shared" si="12"/>
        <v>0</v>
      </c>
      <c r="K107" s="52">
        <f t="shared" si="12"/>
        <v>0</v>
      </c>
      <c r="L107" s="52">
        <f t="shared" si="12"/>
        <v>0</v>
      </c>
      <c r="M107" s="52">
        <f t="shared" si="12"/>
        <v>0</v>
      </c>
      <c r="N107" s="52">
        <f t="shared" si="12"/>
        <v>0</v>
      </c>
      <c r="O107" s="52">
        <f t="shared" si="12"/>
        <v>100</v>
      </c>
      <c r="P107" s="316"/>
    </row>
    <row r="108" spans="1:16" ht="12.75" customHeight="1">
      <c r="A108" s="57"/>
      <c r="B108" s="57"/>
      <c r="C108" s="48" t="s">
        <v>678</v>
      </c>
      <c r="D108" s="46"/>
      <c r="E108" s="54"/>
      <c r="F108" s="54"/>
      <c r="G108" s="54"/>
      <c r="H108" s="54"/>
      <c r="I108" s="54">
        <f>6!K253</f>
        <v>0</v>
      </c>
      <c r="J108" s="54"/>
      <c r="K108" s="54"/>
      <c r="L108" s="54">
        <f>6!J253</f>
        <v>12500</v>
      </c>
      <c r="M108" s="54"/>
      <c r="N108" s="54"/>
      <c r="O108" s="55">
        <f>SUM(I108:N108)</f>
        <v>12500</v>
      </c>
      <c r="P108" s="316"/>
    </row>
    <row r="109" spans="1:16" ht="12.75" customHeight="1">
      <c r="A109" s="57"/>
      <c r="B109" s="57"/>
      <c r="C109" s="48" t="s">
        <v>155</v>
      </c>
      <c r="D109" s="46"/>
      <c r="E109" s="54"/>
      <c r="F109" s="54"/>
      <c r="G109" s="54"/>
      <c r="H109" s="54"/>
      <c r="I109" s="54">
        <f>7!K120</f>
        <v>0</v>
      </c>
      <c r="J109" s="54"/>
      <c r="K109" s="54">
        <f>7!J120</f>
        <v>0</v>
      </c>
      <c r="L109" s="54"/>
      <c r="M109" s="54"/>
      <c r="N109" s="54"/>
      <c r="O109" s="55">
        <f>SUM(I109:N109)</f>
        <v>0</v>
      </c>
      <c r="P109" s="316"/>
    </row>
    <row r="110" spans="1:16" ht="12.75" customHeight="1">
      <c r="A110" s="49"/>
      <c r="B110" s="49"/>
      <c r="C110" s="50" t="s">
        <v>449</v>
      </c>
      <c r="D110" s="51"/>
      <c r="E110" s="52">
        <f>SUM(E107:E109)</f>
        <v>0</v>
      </c>
      <c r="F110" s="52">
        <f aca="true" t="shared" si="13" ref="F110:O110">SUM(F107:F109)</f>
        <v>0</v>
      </c>
      <c r="G110" s="52">
        <f t="shared" si="13"/>
        <v>100</v>
      </c>
      <c r="H110" s="52">
        <f t="shared" si="13"/>
        <v>0</v>
      </c>
      <c r="I110" s="52">
        <f t="shared" si="13"/>
        <v>0</v>
      </c>
      <c r="J110" s="52">
        <f t="shared" si="13"/>
        <v>0</v>
      </c>
      <c r="K110" s="52">
        <f t="shared" si="13"/>
        <v>0</v>
      </c>
      <c r="L110" s="52">
        <f t="shared" si="13"/>
        <v>12500</v>
      </c>
      <c r="M110" s="52">
        <f t="shared" si="13"/>
        <v>0</v>
      </c>
      <c r="N110" s="52">
        <f t="shared" si="13"/>
        <v>0</v>
      </c>
      <c r="O110" s="52">
        <f t="shared" si="13"/>
        <v>12600</v>
      </c>
      <c r="P110" s="316"/>
    </row>
    <row r="111" spans="1:16" ht="12.75" customHeight="1">
      <c r="A111" s="57">
        <v>1</v>
      </c>
      <c r="B111" s="57">
        <v>18</v>
      </c>
      <c r="C111" s="257" t="s">
        <v>179</v>
      </c>
      <c r="D111" s="56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5"/>
      <c r="P111" s="316"/>
    </row>
    <row r="112" spans="1:16" ht="12.75" customHeight="1">
      <c r="A112" s="57"/>
      <c r="B112" s="57"/>
      <c r="C112" s="855" t="s">
        <v>992</v>
      </c>
      <c r="D112" s="856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5"/>
      <c r="P112" s="316"/>
    </row>
    <row r="113" spans="1:16" ht="31.5" customHeight="1">
      <c r="A113" s="57"/>
      <c r="B113" s="57"/>
      <c r="C113" s="879" t="s">
        <v>12</v>
      </c>
      <c r="D113" s="868"/>
      <c r="E113" s="54"/>
      <c r="F113" s="54"/>
      <c r="G113" s="47"/>
      <c r="H113" s="47">
        <v>-255</v>
      </c>
      <c r="I113" s="54"/>
      <c r="J113" s="54"/>
      <c r="K113" s="54"/>
      <c r="L113" s="54"/>
      <c r="M113" s="54"/>
      <c r="N113" s="54"/>
      <c r="O113" s="48">
        <v>-255</v>
      </c>
      <c r="P113" s="316" t="s">
        <v>696</v>
      </c>
    </row>
    <row r="114" spans="1:16" ht="12.75" customHeight="1">
      <c r="A114" s="49"/>
      <c r="B114" s="49"/>
      <c r="C114" s="50" t="s">
        <v>1213</v>
      </c>
      <c r="D114" s="51"/>
      <c r="E114" s="52"/>
      <c r="F114" s="52"/>
      <c r="G114" s="52">
        <f aca="true" t="shared" si="14" ref="G114:O114">SUM(G113:G113)</f>
        <v>0</v>
      </c>
      <c r="H114" s="52">
        <f t="shared" si="14"/>
        <v>-255</v>
      </c>
      <c r="I114" s="52">
        <f t="shared" si="14"/>
        <v>0</v>
      </c>
      <c r="J114" s="52">
        <f t="shared" si="14"/>
        <v>0</v>
      </c>
      <c r="K114" s="52">
        <f t="shared" si="14"/>
        <v>0</v>
      </c>
      <c r="L114" s="52">
        <f t="shared" si="14"/>
        <v>0</v>
      </c>
      <c r="M114" s="52">
        <f t="shared" si="14"/>
        <v>0</v>
      </c>
      <c r="N114" s="52">
        <f t="shared" si="14"/>
        <v>0</v>
      </c>
      <c r="O114" s="52">
        <f t="shared" si="14"/>
        <v>-255</v>
      </c>
      <c r="P114" s="316"/>
    </row>
    <row r="115" spans="1:16" ht="12.75" customHeight="1">
      <c r="A115" s="49"/>
      <c r="B115" s="49"/>
      <c r="C115" s="48" t="s">
        <v>678</v>
      </c>
      <c r="D115" s="56"/>
      <c r="E115" s="54"/>
      <c r="F115" s="54"/>
      <c r="G115" s="54"/>
      <c r="H115" s="54"/>
      <c r="I115" s="54"/>
      <c r="J115" s="54"/>
      <c r="K115" s="54"/>
      <c r="L115" s="54">
        <v>-965</v>
      </c>
      <c r="M115" s="54"/>
      <c r="N115" s="54"/>
      <c r="O115" s="55">
        <v>-965</v>
      </c>
      <c r="P115" s="316"/>
    </row>
    <row r="116" spans="1:16" ht="12.75" customHeight="1">
      <c r="A116" s="49"/>
      <c r="B116" s="49"/>
      <c r="C116" s="50" t="s">
        <v>450</v>
      </c>
      <c r="D116" s="51"/>
      <c r="E116" s="52"/>
      <c r="F116" s="52"/>
      <c r="G116" s="52"/>
      <c r="H116" s="52">
        <f>SUM(H114:H115)</f>
        <v>-255</v>
      </c>
      <c r="I116" s="52"/>
      <c r="J116" s="52"/>
      <c r="K116" s="52"/>
      <c r="L116" s="52">
        <f>SUM(L115)</f>
        <v>-965</v>
      </c>
      <c r="M116" s="52"/>
      <c r="N116" s="52"/>
      <c r="O116" s="50">
        <f>SUM(O114:O115)</f>
        <v>-1220</v>
      </c>
      <c r="P116" s="316"/>
    </row>
    <row r="117" spans="1:16" ht="12.75" customHeight="1">
      <c r="A117" s="58">
        <v>1</v>
      </c>
      <c r="B117" s="58">
        <v>19</v>
      </c>
      <c r="C117" s="67" t="s">
        <v>451</v>
      </c>
      <c r="D117" s="60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41"/>
      <c r="P117" s="316"/>
    </row>
    <row r="118" spans="1:16" ht="12.75" customHeight="1">
      <c r="A118" s="58"/>
      <c r="B118" s="58"/>
      <c r="C118" s="59" t="s">
        <v>993</v>
      </c>
      <c r="D118" s="60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41"/>
      <c r="P118" s="316"/>
    </row>
    <row r="119" spans="1:16" ht="12.75" customHeight="1">
      <c r="A119" s="58"/>
      <c r="B119" s="58"/>
      <c r="C119" s="59" t="s">
        <v>446</v>
      </c>
      <c r="D119" s="60"/>
      <c r="E119" s="61"/>
      <c r="F119" s="61"/>
      <c r="G119" s="61"/>
      <c r="H119" s="61">
        <v>3496</v>
      </c>
      <c r="I119" s="61"/>
      <c r="J119" s="61"/>
      <c r="K119" s="61"/>
      <c r="L119" s="61"/>
      <c r="M119" s="61"/>
      <c r="N119" s="61"/>
      <c r="O119" s="41">
        <f>SUM(E119:N119)</f>
        <v>3496</v>
      </c>
      <c r="P119" s="316" t="s">
        <v>696</v>
      </c>
    </row>
    <row r="120" spans="1:16" ht="12.75" customHeight="1">
      <c r="A120" s="58"/>
      <c r="B120" s="58"/>
      <c r="C120" s="892" t="s">
        <v>1152</v>
      </c>
      <c r="D120" s="87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41"/>
      <c r="P120" s="316"/>
    </row>
    <row r="121" spans="1:16" ht="12.75" customHeight="1">
      <c r="A121" s="58"/>
      <c r="B121" s="58"/>
      <c r="C121" s="879" t="s">
        <v>1183</v>
      </c>
      <c r="D121" s="871"/>
      <c r="E121" s="61"/>
      <c r="F121" s="61"/>
      <c r="G121" s="61">
        <v>110410</v>
      </c>
      <c r="H121" s="61"/>
      <c r="I121" s="61"/>
      <c r="J121" s="61"/>
      <c r="K121" s="61"/>
      <c r="L121" s="61"/>
      <c r="M121" s="61"/>
      <c r="N121" s="61"/>
      <c r="O121" s="41">
        <f>SUM(E121:N121)</f>
        <v>110410</v>
      </c>
      <c r="P121" s="316" t="s">
        <v>656</v>
      </c>
    </row>
    <row r="122" spans="1:16" ht="12.75" customHeight="1">
      <c r="A122" s="58"/>
      <c r="B122" s="58"/>
      <c r="C122" s="879" t="s">
        <v>18</v>
      </c>
      <c r="D122" s="878"/>
      <c r="E122" s="61"/>
      <c r="F122" s="61"/>
      <c r="G122" s="61">
        <v>62</v>
      </c>
      <c r="H122" s="61"/>
      <c r="I122" s="61"/>
      <c r="J122" s="61"/>
      <c r="K122" s="61"/>
      <c r="L122" s="61"/>
      <c r="M122" s="61"/>
      <c r="N122" s="61"/>
      <c r="O122" s="41">
        <v>62</v>
      </c>
      <c r="P122" s="316" t="s">
        <v>656</v>
      </c>
    </row>
    <row r="123" spans="1:16" ht="12.75" customHeight="1">
      <c r="A123" s="58"/>
      <c r="B123" s="58"/>
      <c r="C123" s="866" t="s">
        <v>903</v>
      </c>
      <c r="D123" s="865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41"/>
      <c r="P123" s="316"/>
    </row>
    <row r="124" spans="1:16" ht="12.75" customHeight="1">
      <c r="A124" s="58"/>
      <c r="B124" s="58"/>
      <c r="C124" s="877" t="s">
        <v>14</v>
      </c>
      <c r="D124" s="878"/>
      <c r="E124" s="61"/>
      <c r="F124" s="61"/>
      <c r="G124" s="61">
        <v>3715</v>
      </c>
      <c r="H124" s="61"/>
      <c r="I124" s="61"/>
      <c r="J124" s="61"/>
      <c r="K124" s="61"/>
      <c r="L124" s="61"/>
      <c r="M124" s="61"/>
      <c r="N124" s="61"/>
      <c r="O124" s="41">
        <v>3715</v>
      </c>
      <c r="P124" s="316" t="s">
        <v>656</v>
      </c>
    </row>
    <row r="125" spans="1:16" ht="12.75" customHeight="1">
      <c r="A125" s="58"/>
      <c r="B125" s="58"/>
      <c r="C125" s="874" t="s">
        <v>158</v>
      </c>
      <c r="D125" s="865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41"/>
      <c r="P125" s="316"/>
    </row>
    <row r="126" spans="1:16" ht="12.75" customHeight="1">
      <c r="A126" s="58"/>
      <c r="B126" s="58"/>
      <c r="C126" s="879" t="s">
        <v>1186</v>
      </c>
      <c r="D126" s="868"/>
      <c r="E126" s="61"/>
      <c r="F126" s="61"/>
      <c r="G126" s="61"/>
      <c r="H126" s="61">
        <v>2000</v>
      </c>
      <c r="I126" s="61"/>
      <c r="J126" s="61"/>
      <c r="K126" s="61"/>
      <c r="L126" s="61"/>
      <c r="M126" s="61"/>
      <c r="N126" s="61"/>
      <c r="O126" s="41">
        <f>SUM(E126:N126)</f>
        <v>2000</v>
      </c>
      <c r="P126" s="316" t="s">
        <v>656</v>
      </c>
    </row>
    <row r="127" spans="1:16" ht="12.75" customHeight="1">
      <c r="A127" s="58"/>
      <c r="B127" s="58"/>
      <c r="C127" s="874" t="s">
        <v>989</v>
      </c>
      <c r="D127" s="876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41"/>
      <c r="P127" s="316"/>
    </row>
    <row r="128" spans="1:16" ht="12.75" customHeight="1">
      <c r="A128" s="58"/>
      <c r="B128" s="58"/>
      <c r="C128" s="869" t="s">
        <v>1003</v>
      </c>
      <c r="D128" s="868"/>
      <c r="E128" s="61"/>
      <c r="F128" s="61"/>
      <c r="G128" s="61"/>
      <c r="H128" s="61">
        <v>11035</v>
      </c>
      <c r="I128" s="61"/>
      <c r="J128" s="61"/>
      <c r="K128" s="61"/>
      <c r="L128" s="61"/>
      <c r="M128" s="61"/>
      <c r="N128" s="61"/>
      <c r="O128" s="41">
        <f>SUM(E128:N128)</f>
        <v>11035</v>
      </c>
      <c r="P128" s="316" t="s">
        <v>656</v>
      </c>
    </row>
    <row r="129" spans="1:16" ht="24.75" customHeight="1">
      <c r="A129" s="58"/>
      <c r="B129" s="58"/>
      <c r="C129" s="862" t="s">
        <v>739</v>
      </c>
      <c r="D129" s="87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41"/>
      <c r="P129" s="316"/>
    </row>
    <row r="130" spans="1:16" ht="12.75" customHeight="1">
      <c r="A130" s="58"/>
      <c r="B130" s="58"/>
      <c r="C130" s="869" t="s">
        <v>738</v>
      </c>
      <c r="D130" s="868"/>
      <c r="E130" s="61"/>
      <c r="F130" s="61"/>
      <c r="G130" s="61"/>
      <c r="H130" s="61">
        <v>1270</v>
      </c>
      <c r="I130" s="61"/>
      <c r="J130" s="61"/>
      <c r="K130" s="61"/>
      <c r="L130" s="61"/>
      <c r="M130" s="61"/>
      <c r="N130" s="61"/>
      <c r="O130" s="41">
        <f>SUM(E130:N130)</f>
        <v>1270</v>
      </c>
      <c r="P130" s="316" t="s">
        <v>656</v>
      </c>
    </row>
    <row r="131" spans="1:16" ht="12.75" customHeight="1">
      <c r="A131" s="58"/>
      <c r="B131" s="58"/>
      <c r="C131" s="874" t="s">
        <v>1184</v>
      </c>
      <c r="D131" s="865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41"/>
      <c r="P131" s="316"/>
    </row>
    <row r="132" spans="1:16" ht="12.75" customHeight="1">
      <c r="A132" s="58"/>
      <c r="B132" s="58"/>
      <c r="C132" s="59" t="s">
        <v>1185</v>
      </c>
      <c r="D132" s="60"/>
      <c r="E132" s="61"/>
      <c r="F132" s="61"/>
      <c r="G132" s="61"/>
      <c r="H132" s="61">
        <v>7000</v>
      </c>
      <c r="I132" s="61"/>
      <c r="J132" s="61"/>
      <c r="K132" s="61"/>
      <c r="L132" s="61"/>
      <c r="M132" s="61"/>
      <c r="N132" s="61"/>
      <c r="O132" s="41">
        <f>SUM(E132:N132)</f>
        <v>7000</v>
      </c>
      <c r="P132" s="316" t="s">
        <v>656</v>
      </c>
    </row>
    <row r="133" spans="1:16" ht="12.75" customHeight="1">
      <c r="A133" s="49"/>
      <c r="B133" s="49"/>
      <c r="C133" s="50" t="s">
        <v>455</v>
      </c>
      <c r="D133" s="51"/>
      <c r="E133" s="52">
        <f aca="true" t="shared" si="15" ref="E133:O133">SUM(E118:E132)</f>
        <v>0</v>
      </c>
      <c r="F133" s="52">
        <f t="shared" si="15"/>
        <v>0</v>
      </c>
      <c r="G133" s="52">
        <f t="shared" si="15"/>
        <v>114187</v>
      </c>
      <c r="H133" s="52">
        <f t="shared" si="15"/>
        <v>24801</v>
      </c>
      <c r="I133" s="52">
        <f t="shared" si="15"/>
        <v>0</v>
      </c>
      <c r="J133" s="52">
        <f t="shared" si="15"/>
        <v>0</v>
      </c>
      <c r="K133" s="52">
        <f t="shared" si="15"/>
        <v>0</v>
      </c>
      <c r="L133" s="52">
        <f t="shared" si="15"/>
        <v>0</v>
      </c>
      <c r="M133" s="52">
        <f t="shared" si="15"/>
        <v>0</v>
      </c>
      <c r="N133" s="52">
        <f t="shared" si="15"/>
        <v>0</v>
      </c>
      <c r="O133" s="50">
        <f t="shared" si="15"/>
        <v>138988</v>
      </c>
      <c r="P133" s="316"/>
    </row>
    <row r="134" spans="1:16" ht="12.75" customHeight="1">
      <c r="A134" s="49"/>
      <c r="B134" s="49"/>
      <c r="C134" s="869" t="s">
        <v>1187</v>
      </c>
      <c r="D134" s="871"/>
      <c r="E134" s="54"/>
      <c r="F134" s="54"/>
      <c r="G134" s="54"/>
      <c r="H134" s="54">
        <v>2300</v>
      </c>
      <c r="I134" s="54"/>
      <c r="J134" s="54"/>
      <c r="K134" s="54"/>
      <c r="L134" s="54"/>
      <c r="M134" s="54"/>
      <c r="N134" s="54"/>
      <c r="O134" s="55">
        <v>2300</v>
      </c>
      <c r="P134" s="316" t="s">
        <v>656</v>
      </c>
    </row>
    <row r="135" spans="1:16" ht="12.75" customHeight="1">
      <c r="A135" s="62"/>
      <c r="B135" s="62"/>
      <c r="C135" s="59" t="s">
        <v>216</v>
      </c>
      <c r="D135" s="60"/>
      <c r="E135" s="63"/>
      <c r="F135" s="63"/>
      <c r="G135" s="63"/>
      <c r="H135" s="61"/>
      <c r="I135" s="271">
        <f>6!K264</f>
        <v>500</v>
      </c>
      <c r="J135" s="271"/>
      <c r="K135" s="271"/>
      <c r="L135" s="271">
        <f>6!J264</f>
        <v>0</v>
      </c>
      <c r="M135" s="63"/>
      <c r="N135" s="63"/>
      <c r="O135" s="41">
        <f>SUM(E135:N135)</f>
        <v>500</v>
      </c>
      <c r="P135" s="316"/>
    </row>
    <row r="136" spans="1:16" ht="12.75" customHeight="1">
      <c r="A136" s="62"/>
      <c r="B136" s="62"/>
      <c r="C136" s="59" t="s">
        <v>213</v>
      </c>
      <c r="D136" s="60"/>
      <c r="E136" s="63"/>
      <c r="F136" s="63"/>
      <c r="G136" s="63"/>
      <c r="H136" s="61"/>
      <c r="I136" s="271">
        <f>7!K124</f>
        <v>0</v>
      </c>
      <c r="J136" s="271"/>
      <c r="K136" s="271">
        <f>7!J124</f>
        <v>0</v>
      </c>
      <c r="L136" s="270"/>
      <c r="M136" s="63"/>
      <c r="N136" s="63"/>
      <c r="O136" s="41">
        <f>SUM(E136:N136)</f>
        <v>0</v>
      </c>
      <c r="P136" s="316"/>
    </row>
    <row r="137" spans="1:16" ht="12.75" customHeight="1">
      <c r="A137" s="49"/>
      <c r="B137" s="49"/>
      <c r="C137" s="50" t="s">
        <v>199</v>
      </c>
      <c r="D137" s="51"/>
      <c r="E137" s="52">
        <f aca="true" t="shared" si="16" ref="E137:O137">SUM(E133:E136)</f>
        <v>0</v>
      </c>
      <c r="F137" s="52">
        <f t="shared" si="16"/>
        <v>0</v>
      </c>
      <c r="G137" s="52">
        <f t="shared" si="16"/>
        <v>114187</v>
      </c>
      <c r="H137" s="52">
        <f t="shared" si="16"/>
        <v>27101</v>
      </c>
      <c r="I137" s="52">
        <f t="shared" si="16"/>
        <v>500</v>
      </c>
      <c r="J137" s="52">
        <f t="shared" si="16"/>
        <v>0</v>
      </c>
      <c r="K137" s="52">
        <f t="shared" si="16"/>
        <v>0</v>
      </c>
      <c r="L137" s="52">
        <f t="shared" si="16"/>
        <v>0</v>
      </c>
      <c r="M137" s="52">
        <f t="shared" si="16"/>
        <v>0</v>
      </c>
      <c r="N137" s="52">
        <f t="shared" si="16"/>
        <v>0</v>
      </c>
      <c r="O137" s="50">
        <f t="shared" si="16"/>
        <v>141788</v>
      </c>
      <c r="P137" s="316"/>
    </row>
    <row r="138" spans="1:16" s="78" customFormat="1" ht="12.75" customHeight="1">
      <c r="A138" s="57">
        <v>1</v>
      </c>
      <c r="B138" s="57">
        <v>20</v>
      </c>
      <c r="C138" s="55" t="s">
        <v>85</v>
      </c>
      <c r="D138" s="56"/>
      <c r="E138" s="54"/>
      <c r="F138" s="54"/>
      <c r="G138" s="47"/>
      <c r="H138" s="47"/>
      <c r="I138" s="54"/>
      <c r="J138" s="54"/>
      <c r="K138" s="54"/>
      <c r="L138" s="54"/>
      <c r="M138" s="54"/>
      <c r="N138" s="54"/>
      <c r="O138" s="55"/>
      <c r="P138" s="316"/>
    </row>
    <row r="139" spans="1:16" s="77" customFormat="1" ht="12.75" customHeight="1">
      <c r="A139" s="57">
        <v>1</v>
      </c>
      <c r="B139" s="36">
        <v>21</v>
      </c>
      <c r="C139" s="861" t="s">
        <v>86</v>
      </c>
      <c r="D139" s="856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5"/>
      <c r="P139" s="316"/>
    </row>
    <row r="140" spans="1:16" s="77" customFormat="1" ht="12.75" customHeight="1">
      <c r="A140" s="57"/>
      <c r="B140" s="36"/>
      <c r="C140" s="875" t="s">
        <v>992</v>
      </c>
      <c r="D140" s="876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5"/>
      <c r="P140" s="316"/>
    </row>
    <row r="141" spans="1:16" s="77" customFormat="1" ht="12.75" customHeight="1">
      <c r="A141" s="57"/>
      <c r="B141" s="36"/>
      <c r="C141" s="872" t="s">
        <v>1188</v>
      </c>
      <c r="D141" s="873"/>
      <c r="E141" s="47"/>
      <c r="F141" s="47"/>
      <c r="G141" s="47">
        <v>-1100</v>
      </c>
      <c r="H141" s="47"/>
      <c r="I141" s="54"/>
      <c r="J141" s="54"/>
      <c r="K141" s="54"/>
      <c r="L141" s="54"/>
      <c r="M141" s="54"/>
      <c r="N141" s="54"/>
      <c r="O141" s="48">
        <f>SUM(E141:N141)</f>
        <v>-1100</v>
      </c>
      <c r="P141" s="316" t="s">
        <v>656</v>
      </c>
    </row>
    <row r="142" spans="1:16" s="77" customFormat="1" ht="12.75" customHeight="1">
      <c r="A142" s="57"/>
      <c r="B142" s="36"/>
      <c r="C142" s="490" t="s">
        <v>647</v>
      </c>
      <c r="D142" s="486"/>
      <c r="E142" s="54"/>
      <c r="F142" s="54"/>
      <c r="G142" s="47">
        <v>-415</v>
      </c>
      <c r="H142" s="47"/>
      <c r="I142" s="54"/>
      <c r="J142" s="54"/>
      <c r="K142" s="54"/>
      <c r="L142" s="54"/>
      <c r="M142" s="54"/>
      <c r="N142" s="54"/>
      <c r="O142" s="48">
        <f>SUM(G142:N142)</f>
        <v>-415</v>
      </c>
      <c r="P142" s="316" t="s">
        <v>656</v>
      </c>
    </row>
    <row r="143" spans="1:16" s="77" customFormat="1" ht="12.75" customHeight="1">
      <c r="A143" s="57"/>
      <c r="B143" s="36"/>
      <c r="C143" s="490" t="s">
        <v>1189</v>
      </c>
      <c r="D143" s="486"/>
      <c r="E143" s="54"/>
      <c r="F143" s="54"/>
      <c r="G143" s="47">
        <v>523</v>
      </c>
      <c r="H143" s="47"/>
      <c r="I143" s="54"/>
      <c r="J143" s="54"/>
      <c r="K143" s="54"/>
      <c r="L143" s="54"/>
      <c r="M143" s="54"/>
      <c r="N143" s="54"/>
      <c r="O143" s="48">
        <f>SUM(G143:N143)</f>
        <v>523</v>
      </c>
      <c r="P143" s="316" t="s">
        <v>656</v>
      </c>
    </row>
    <row r="144" spans="1:16" s="77" customFormat="1" ht="12.75" customHeight="1">
      <c r="A144" s="57"/>
      <c r="B144" s="36"/>
      <c r="C144" s="490" t="s">
        <v>715</v>
      </c>
      <c r="D144" s="486"/>
      <c r="E144" s="47">
        <v>54023</v>
      </c>
      <c r="F144" s="47">
        <v>14586</v>
      </c>
      <c r="G144" s="47"/>
      <c r="H144" s="47"/>
      <c r="I144" s="54"/>
      <c r="J144" s="54"/>
      <c r="K144" s="54"/>
      <c r="L144" s="54"/>
      <c r="M144" s="54"/>
      <c r="N144" s="54"/>
      <c r="O144" s="48">
        <f>SUM(E144:N144)</f>
        <v>68609</v>
      </c>
      <c r="P144" s="316" t="s">
        <v>656</v>
      </c>
    </row>
    <row r="145" spans="1:16" s="77" customFormat="1" ht="12.75" customHeight="1">
      <c r="A145" s="57"/>
      <c r="B145" s="36"/>
      <c r="C145" s="473" t="s">
        <v>463</v>
      </c>
      <c r="D145" s="486"/>
      <c r="E145" s="54"/>
      <c r="F145" s="54"/>
      <c r="G145" s="47"/>
      <c r="H145" s="47"/>
      <c r="I145" s="54"/>
      <c r="J145" s="54"/>
      <c r="K145" s="54"/>
      <c r="L145" s="54"/>
      <c r="M145" s="54"/>
      <c r="N145" s="54"/>
      <c r="O145" s="48"/>
      <c r="P145" s="316"/>
    </row>
    <row r="146" spans="1:16" s="77" customFormat="1" ht="12.75" customHeight="1">
      <c r="A146" s="57"/>
      <c r="B146" s="36"/>
      <c r="C146" s="751" t="s">
        <v>1190</v>
      </c>
      <c r="D146" s="486"/>
      <c r="E146" s="54"/>
      <c r="F146" s="54"/>
      <c r="G146" s="47">
        <v>12094</v>
      </c>
      <c r="H146" s="47">
        <v>1303</v>
      </c>
      <c r="I146" s="54"/>
      <c r="J146" s="54"/>
      <c r="K146" s="54"/>
      <c r="L146" s="54"/>
      <c r="M146" s="54"/>
      <c r="N146" s="54"/>
      <c r="O146" s="48">
        <f aca="true" t="shared" si="17" ref="O146:O153">SUM(G146:N146)</f>
        <v>13397</v>
      </c>
      <c r="P146" s="316" t="s">
        <v>656</v>
      </c>
    </row>
    <row r="147" spans="1:16" s="77" customFormat="1" ht="12.75" customHeight="1">
      <c r="A147" s="57"/>
      <c r="B147" s="36"/>
      <c r="C147" s="752" t="s">
        <v>464</v>
      </c>
      <c r="D147" s="531"/>
      <c r="E147" s="54"/>
      <c r="F147" s="54"/>
      <c r="G147" s="47"/>
      <c r="H147" s="47">
        <v>-500</v>
      </c>
      <c r="I147" s="54"/>
      <c r="J147" s="54"/>
      <c r="K147" s="54"/>
      <c r="L147" s="54"/>
      <c r="M147" s="54"/>
      <c r="N147" s="54"/>
      <c r="O147" s="48">
        <v>-500</v>
      </c>
      <c r="P147" s="316" t="s">
        <v>656</v>
      </c>
    </row>
    <row r="148" spans="1:16" s="77" customFormat="1" ht="12.75" customHeight="1">
      <c r="A148" s="57"/>
      <c r="B148" s="36"/>
      <c r="C148" s="752" t="s">
        <v>465</v>
      </c>
      <c r="D148" s="531"/>
      <c r="E148" s="54"/>
      <c r="F148" s="54"/>
      <c r="G148" s="47"/>
      <c r="H148" s="47">
        <v>-150</v>
      </c>
      <c r="I148" s="54"/>
      <c r="J148" s="54"/>
      <c r="K148" s="54"/>
      <c r="L148" s="54"/>
      <c r="M148" s="54"/>
      <c r="N148" s="54"/>
      <c r="O148" s="48">
        <v>-150</v>
      </c>
      <c r="P148" s="316" t="s">
        <v>656</v>
      </c>
    </row>
    <row r="149" spans="1:16" s="77" customFormat="1" ht="12.75" customHeight="1">
      <c r="A149" s="57"/>
      <c r="B149" s="36"/>
      <c r="C149" s="752" t="s">
        <v>993</v>
      </c>
      <c r="D149" s="486"/>
      <c r="E149" s="54"/>
      <c r="F149" s="54"/>
      <c r="G149" s="47"/>
      <c r="H149" s="47"/>
      <c r="I149" s="54"/>
      <c r="J149" s="54"/>
      <c r="K149" s="54"/>
      <c r="L149" s="54"/>
      <c r="M149" s="54"/>
      <c r="N149" s="54"/>
      <c r="O149" s="48"/>
      <c r="P149" s="316"/>
    </row>
    <row r="150" spans="1:16" s="77" customFormat="1" ht="12.75" customHeight="1">
      <c r="A150" s="57"/>
      <c r="B150" s="36"/>
      <c r="C150" s="869" t="s">
        <v>1191</v>
      </c>
      <c r="D150" s="905"/>
      <c r="E150" s="54"/>
      <c r="F150" s="54"/>
      <c r="G150" s="47">
        <v>1047</v>
      </c>
      <c r="H150" s="47"/>
      <c r="I150" s="54"/>
      <c r="J150" s="54"/>
      <c r="K150" s="54"/>
      <c r="L150" s="54"/>
      <c r="M150" s="54"/>
      <c r="N150" s="54"/>
      <c r="O150" s="48">
        <f t="shared" si="17"/>
        <v>1047</v>
      </c>
      <c r="P150" s="316" t="s">
        <v>656</v>
      </c>
    </row>
    <row r="151" spans="1:16" s="77" customFormat="1" ht="12.75" customHeight="1">
      <c r="A151" s="57"/>
      <c r="B151" s="36"/>
      <c r="C151" s="869" t="s">
        <v>1192</v>
      </c>
      <c r="D151" s="871"/>
      <c r="E151" s="54"/>
      <c r="F151" s="54"/>
      <c r="G151" s="47">
        <v>94</v>
      </c>
      <c r="H151" s="47"/>
      <c r="I151" s="54"/>
      <c r="J151" s="54"/>
      <c r="K151" s="54"/>
      <c r="L151" s="54"/>
      <c r="M151" s="54"/>
      <c r="N151" s="54"/>
      <c r="O151" s="48">
        <f t="shared" si="17"/>
        <v>94</v>
      </c>
      <c r="P151" s="316" t="s">
        <v>656</v>
      </c>
    </row>
    <row r="152" spans="1:16" s="77" customFormat="1" ht="12.75" customHeight="1">
      <c r="A152" s="57"/>
      <c r="B152" s="36"/>
      <c r="C152" s="536" t="s">
        <v>445</v>
      </c>
      <c r="D152" s="531"/>
      <c r="E152" s="54"/>
      <c r="F152" s="54"/>
      <c r="G152" s="47"/>
      <c r="H152" s="47"/>
      <c r="I152" s="54"/>
      <c r="J152" s="54"/>
      <c r="K152" s="54"/>
      <c r="L152" s="54"/>
      <c r="M152" s="54"/>
      <c r="N152" s="54"/>
      <c r="O152" s="48"/>
      <c r="P152" s="316"/>
    </row>
    <row r="153" spans="1:16" s="77" customFormat="1" ht="12.75" customHeight="1">
      <c r="A153" s="57"/>
      <c r="B153" s="36"/>
      <c r="C153" s="536" t="s">
        <v>1193</v>
      </c>
      <c r="D153" s="531"/>
      <c r="E153" s="54"/>
      <c r="F153" s="54"/>
      <c r="G153" s="47"/>
      <c r="H153" s="47">
        <v>152</v>
      </c>
      <c r="I153" s="54"/>
      <c r="J153" s="54"/>
      <c r="K153" s="54"/>
      <c r="L153" s="54"/>
      <c r="M153" s="54"/>
      <c r="N153" s="54"/>
      <c r="O153" s="48">
        <f t="shared" si="17"/>
        <v>152</v>
      </c>
      <c r="P153" s="316" t="s">
        <v>656</v>
      </c>
    </row>
    <row r="154" spans="1:16" s="77" customFormat="1" ht="12.75" customHeight="1">
      <c r="A154" s="49"/>
      <c r="B154" s="49"/>
      <c r="C154" s="893" t="s">
        <v>123</v>
      </c>
      <c r="D154" s="836"/>
      <c r="E154" s="52">
        <f aca="true" t="shared" si="18" ref="E154:O154">SUM(E140:E153)</f>
        <v>54023</v>
      </c>
      <c r="F154" s="52">
        <f t="shared" si="18"/>
        <v>14586</v>
      </c>
      <c r="G154" s="52">
        <f t="shared" si="18"/>
        <v>12243</v>
      </c>
      <c r="H154" s="52">
        <f t="shared" si="18"/>
        <v>805</v>
      </c>
      <c r="I154" s="52">
        <f t="shared" si="18"/>
        <v>0</v>
      </c>
      <c r="J154" s="52">
        <f t="shared" si="18"/>
        <v>0</v>
      </c>
      <c r="K154" s="52">
        <f t="shared" si="18"/>
        <v>0</v>
      </c>
      <c r="L154" s="52">
        <f t="shared" si="18"/>
        <v>0</v>
      </c>
      <c r="M154" s="52">
        <f t="shared" si="18"/>
        <v>0</v>
      </c>
      <c r="N154" s="52">
        <f t="shared" si="18"/>
        <v>0</v>
      </c>
      <c r="O154" s="52">
        <f t="shared" si="18"/>
        <v>81657</v>
      </c>
      <c r="P154" s="316"/>
    </row>
    <row r="155" spans="1:16" s="77" customFormat="1" ht="12.75" customHeight="1">
      <c r="A155" s="57"/>
      <c r="B155" s="57"/>
      <c r="C155" s="59" t="s">
        <v>216</v>
      </c>
      <c r="D155" s="314"/>
      <c r="E155" s="54"/>
      <c r="F155" s="54"/>
      <c r="G155" s="54"/>
      <c r="H155" s="54"/>
      <c r="I155" s="54">
        <f>0+6!K268</f>
        <v>150</v>
      </c>
      <c r="J155" s="54"/>
      <c r="K155" s="54"/>
      <c r="L155" s="54">
        <f>6!J268</f>
        <v>0</v>
      </c>
      <c r="M155" s="54"/>
      <c r="N155" s="54"/>
      <c r="O155" s="55">
        <f>SUM(I155:N155)</f>
        <v>150</v>
      </c>
      <c r="P155" s="316"/>
    </row>
    <row r="156" spans="1:16" s="77" customFormat="1" ht="12.75" customHeight="1">
      <c r="A156" s="49"/>
      <c r="B156" s="49"/>
      <c r="C156" s="893" t="s">
        <v>644</v>
      </c>
      <c r="D156" s="836"/>
      <c r="E156" s="52">
        <f>SUM(E154:E155)</f>
        <v>54023</v>
      </c>
      <c r="F156" s="52">
        <f>SUM(F154:F155)</f>
        <v>14586</v>
      </c>
      <c r="G156" s="52">
        <f>SUM(G154:G155)</f>
        <v>12243</v>
      </c>
      <c r="H156" s="52">
        <f>SUM(H154:H155)</f>
        <v>805</v>
      </c>
      <c r="I156" s="52">
        <f>SUM(I155)</f>
        <v>150</v>
      </c>
      <c r="J156" s="52"/>
      <c r="K156" s="52"/>
      <c r="L156" s="52">
        <f>SUM(L154:L155)</f>
        <v>0</v>
      </c>
      <c r="M156" s="52"/>
      <c r="N156" s="52"/>
      <c r="O156" s="50">
        <f>SUM(O154:O155)</f>
        <v>81807</v>
      </c>
      <c r="P156" s="316"/>
    </row>
    <row r="157" spans="1:16" ht="12.75" customHeight="1">
      <c r="A157" s="62">
        <v>1</v>
      </c>
      <c r="B157" s="62">
        <v>30</v>
      </c>
      <c r="C157" s="67" t="s">
        <v>661</v>
      </c>
      <c r="D157" s="60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41"/>
      <c r="P157" s="316"/>
    </row>
    <row r="158" spans="1:16" ht="12.75" customHeight="1">
      <c r="A158" s="58"/>
      <c r="B158" s="58">
        <v>32</v>
      </c>
      <c r="C158" s="67" t="s">
        <v>166</v>
      </c>
      <c r="D158" s="60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41"/>
      <c r="P158" s="316"/>
    </row>
    <row r="159" spans="1:16" ht="12.75" customHeight="1">
      <c r="A159" s="58"/>
      <c r="B159" s="58"/>
      <c r="C159" s="59" t="s">
        <v>1194</v>
      </c>
      <c r="D159" s="60"/>
      <c r="E159" s="61"/>
      <c r="F159" s="61"/>
      <c r="G159" s="61"/>
      <c r="H159" s="61"/>
      <c r="I159" s="61"/>
      <c r="J159" s="61"/>
      <c r="K159" s="61"/>
      <c r="L159" s="61"/>
      <c r="M159" s="61"/>
      <c r="N159" s="61">
        <v>-14910</v>
      </c>
      <c r="O159" s="41">
        <f aca="true" t="shared" si="19" ref="O159:O174">SUM(E159:N159)</f>
        <v>-14910</v>
      </c>
      <c r="P159" s="316" t="s">
        <v>656</v>
      </c>
    </row>
    <row r="160" spans="1:16" ht="12.75" customHeight="1">
      <c r="A160" s="58"/>
      <c r="B160" s="58"/>
      <c r="C160" s="59" t="s">
        <v>1195</v>
      </c>
      <c r="D160" s="60"/>
      <c r="E160" s="61"/>
      <c r="F160" s="61"/>
      <c r="G160" s="61"/>
      <c r="H160" s="61"/>
      <c r="I160" s="61"/>
      <c r="J160" s="61"/>
      <c r="K160" s="61"/>
      <c r="L160" s="61"/>
      <c r="M160" s="61"/>
      <c r="N160" s="61">
        <v>-81450</v>
      </c>
      <c r="O160" s="41">
        <f t="shared" si="19"/>
        <v>-81450</v>
      </c>
      <c r="P160" s="316" t="s">
        <v>656</v>
      </c>
    </row>
    <row r="161" spans="1:16" ht="12.75" customHeight="1">
      <c r="A161" s="58"/>
      <c r="B161" s="58"/>
      <c r="C161" s="59" t="s">
        <v>1196</v>
      </c>
      <c r="D161" s="60"/>
      <c r="E161" s="61"/>
      <c r="F161" s="61"/>
      <c r="G161" s="61"/>
      <c r="H161" s="61"/>
      <c r="I161" s="61"/>
      <c r="J161" s="61"/>
      <c r="K161" s="61"/>
      <c r="L161" s="61"/>
      <c r="M161" s="61"/>
      <c r="N161" s="61">
        <v>-39070</v>
      </c>
      <c r="O161" s="41">
        <f t="shared" si="19"/>
        <v>-39070</v>
      </c>
      <c r="P161" s="316" t="s">
        <v>656</v>
      </c>
    </row>
    <row r="162" spans="1:16" ht="12.75" customHeight="1">
      <c r="A162" s="58"/>
      <c r="B162" s="58"/>
      <c r="C162" s="869" t="s">
        <v>1197</v>
      </c>
      <c r="D162" s="871"/>
      <c r="E162" s="61"/>
      <c r="F162" s="61"/>
      <c r="G162" s="61"/>
      <c r="H162" s="61"/>
      <c r="I162" s="61"/>
      <c r="J162" s="61"/>
      <c r="K162" s="61"/>
      <c r="L162" s="61"/>
      <c r="M162" s="61"/>
      <c r="N162" s="61">
        <v>-3606</v>
      </c>
      <c r="O162" s="41">
        <f t="shared" si="19"/>
        <v>-3606</v>
      </c>
      <c r="P162" s="316" t="s">
        <v>656</v>
      </c>
    </row>
    <row r="163" spans="1:16" ht="12.75" customHeight="1">
      <c r="A163" s="58"/>
      <c r="B163" s="58"/>
      <c r="C163" s="869" t="s">
        <v>1187</v>
      </c>
      <c r="D163" s="871"/>
      <c r="E163" s="61"/>
      <c r="F163" s="61"/>
      <c r="G163" s="61"/>
      <c r="H163" s="61"/>
      <c r="I163" s="61"/>
      <c r="J163" s="61"/>
      <c r="K163" s="61"/>
      <c r="L163" s="61"/>
      <c r="M163" s="61"/>
      <c r="N163" s="61">
        <v>-2300</v>
      </c>
      <c r="O163" s="41">
        <f t="shared" si="19"/>
        <v>-2300</v>
      </c>
      <c r="P163" s="316" t="s">
        <v>656</v>
      </c>
    </row>
    <row r="164" spans="1:16" ht="12.75" customHeight="1">
      <c r="A164" s="58"/>
      <c r="B164" s="58"/>
      <c r="C164" s="59" t="s">
        <v>631</v>
      </c>
      <c r="D164" s="60"/>
      <c r="E164" s="61"/>
      <c r="F164" s="61"/>
      <c r="G164" s="61"/>
      <c r="H164" s="61"/>
      <c r="I164" s="61"/>
      <c r="J164" s="61"/>
      <c r="K164" s="61"/>
      <c r="L164" s="61"/>
      <c r="M164" s="61"/>
      <c r="N164" s="61">
        <v>9001</v>
      </c>
      <c r="O164" s="41">
        <f t="shared" si="19"/>
        <v>9001</v>
      </c>
      <c r="P164" s="316" t="s">
        <v>656</v>
      </c>
    </row>
    <row r="165" spans="1:16" ht="24.75" customHeight="1">
      <c r="A165" s="58"/>
      <c r="B165" s="58"/>
      <c r="C165" s="870" t="s">
        <v>927</v>
      </c>
      <c r="D165" s="87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41"/>
      <c r="P165" s="316"/>
    </row>
    <row r="166" spans="1:16" ht="12.75" customHeight="1">
      <c r="A166" s="58"/>
      <c r="B166" s="58"/>
      <c r="C166" s="59" t="s">
        <v>928</v>
      </c>
      <c r="D166" s="477"/>
      <c r="E166" s="61"/>
      <c r="F166" s="61"/>
      <c r="G166" s="61"/>
      <c r="H166" s="61"/>
      <c r="I166" s="61"/>
      <c r="J166" s="61"/>
      <c r="K166" s="61"/>
      <c r="L166" s="61"/>
      <c r="M166" s="61"/>
      <c r="N166" s="61">
        <v>-2420</v>
      </c>
      <c r="O166" s="41">
        <f t="shared" si="19"/>
        <v>-2420</v>
      </c>
      <c r="P166" s="316" t="s">
        <v>696</v>
      </c>
    </row>
    <row r="167" spans="1:16" ht="24.75" customHeight="1">
      <c r="A167" s="58"/>
      <c r="B167" s="58"/>
      <c r="C167" s="870" t="s">
        <v>209</v>
      </c>
      <c r="D167" s="87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41"/>
      <c r="P167" s="316"/>
    </row>
    <row r="168" spans="1:16" ht="12.75" customHeight="1">
      <c r="A168" s="58"/>
      <c r="B168" s="58"/>
      <c r="C168" s="869" t="s">
        <v>929</v>
      </c>
      <c r="D168" s="871"/>
      <c r="E168" s="61"/>
      <c r="F168" s="61"/>
      <c r="G168" s="61"/>
      <c r="H168" s="61"/>
      <c r="I168" s="61"/>
      <c r="J168" s="61"/>
      <c r="K168" s="61"/>
      <c r="L168" s="61"/>
      <c r="M168" s="61"/>
      <c r="N168" s="61">
        <v>-1265</v>
      </c>
      <c r="O168" s="41">
        <f t="shared" si="19"/>
        <v>-1265</v>
      </c>
      <c r="P168" s="316" t="s">
        <v>696</v>
      </c>
    </row>
    <row r="169" spans="1:16" ht="24.75" customHeight="1">
      <c r="A169" s="58"/>
      <c r="B169" s="58"/>
      <c r="C169" s="870" t="s">
        <v>1035</v>
      </c>
      <c r="D169" s="87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41"/>
      <c r="P169" s="316"/>
    </row>
    <row r="170" spans="1:16" ht="15" customHeight="1">
      <c r="A170" s="58"/>
      <c r="B170" s="58"/>
      <c r="C170" s="883" t="s">
        <v>1036</v>
      </c>
      <c r="D170" s="889"/>
      <c r="E170" s="61"/>
      <c r="F170" s="61"/>
      <c r="G170" s="61"/>
      <c r="H170" s="61"/>
      <c r="I170" s="61"/>
      <c r="J170" s="61"/>
      <c r="K170" s="61"/>
      <c r="L170" s="61"/>
      <c r="M170" s="61"/>
      <c r="N170" s="61">
        <v>-40</v>
      </c>
      <c r="O170" s="41">
        <f t="shared" si="19"/>
        <v>-40</v>
      </c>
      <c r="P170" s="316" t="s">
        <v>696</v>
      </c>
    </row>
    <row r="171" spans="1:16" ht="13.5" customHeight="1">
      <c r="A171" s="58"/>
      <c r="B171" s="58"/>
      <c r="C171" s="869" t="s">
        <v>1198</v>
      </c>
      <c r="D171" s="871"/>
      <c r="E171" s="61"/>
      <c r="F171" s="61"/>
      <c r="G171" s="61"/>
      <c r="H171" s="61"/>
      <c r="I171" s="61"/>
      <c r="J171" s="61"/>
      <c r="K171" s="61"/>
      <c r="L171" s="61"/>
      <c r="M171" s="61"/>
      <c r="N171" s="61">
        <v>-2973</v>
      </c>
      <c r="O171" s="41">
        <f t="shared" si="19"/>
        <v>-2973</v>
      </c>
      <c r="P171" s="316" t="s">
        <v>696</v>
      </c>
    </row>
    <row r="172" spans="1:16" ht="24" customHeight="1">
      <c r="A172" s="58"/>
      <c r="B172" s="58"/>
      <c r="C172" s="870" t="s">
        <v>210</v>
      </c>
      <c r="D172" s="87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41"/>
      <c r="P172" s="316"/>
    </row>
    <row r="173" spans="1:16" ht="15" customHeight="1">
      <c r="A173" s="58"/>
      <c r="B173" s="58"/>
      <c r="C173" s="59" t="s">
        <v>444</v>
      </c>
      <c r="D173" s="477"/>
      <c r="E173" s="61"/>
      <c r="F173" s="61"/>
      <c r="G173" s="61"/>
      <c r="H173" s="61"/>
      <c r="I173" s="61"/>
      <c r="J173" s="61"/>
      <c r="K173" s="61"/>
      <c r="L173" s="61"/>
      <c r="M173" s="61"/>
      <c r="N173" s="61">
        <v>-1005</v>
      </c>
      <c r="O173" s="41">
        <f t="shared" si="19"/>
        <v>-1005</v>
      </c>
      <c r="P173" s="316" t="s">
        <v>696</v>
      </c>
    </row>
    <row r="174" spans="1:16" ht="15" customHeight="1">
      <c r="A174" s="58"/>
      <c r="B174" s="58"/>
      <c r="C174" s="59" t="s">
        <v>1199</v>
      </c>
      <c r="D174" s="477"/>
      <c r="E174" s="61"/>
      <c r="F174" s="61"/>
      <c r="G174" s="61"/>
      <c r="H174" s="61"/>
      <c r="I174" s="61"/>
      <c r="J174" s="61"/>
      <c r="K174" s="61"/>
      <c r="L174" s="61"/>
      <c r="M174" s="61"/>
      <c r="N174" s="61">
        <v>45000</v>
      </c>
      <c r="O174" s="41">
        <f t="shared" si="19"/>
        <v>45000</v>
      </c>
      <c r="P174" s="316" t="s">
        <v>656</v>
      </c>
    </row>
    <row r="175" spans="1:16" ht="13.5" customHeight="1">
      <c r="A175" s="62"/>
      <c r="B175" s="62"/>
      <c r="C175" s="59" t="s">
        <v>679</v>
      </c>
      <c r="D175" s="60"/>
      <c r="E175" s="63"/>
      <c r="F175" s="63"/>
      <c r="G175" s="63"/>
      <c r="H175" s="63"/>
      <c r="I175" s="61"/>
      <c r="J175" s="63"/>
      <c r="K175" s="61">
        <f>7!J130</f>
        <v>-5465</v>
      </c>
      <c r="L175" s="76">
        <f>6!J272</f>
        <v>0</v>
      </c>
      <c r="M175" s="63"/>
      <c r="N175" s="63"/>
      <c r="O175" s="41">
        <f>SUM(E175:N175)</f>
        <v>-5465</v>
      </c>
      <c r="P175" s="316"/>
    </row>
    <row r="176" spans="1:16" ht="12.75" customHeight="1">
      <c r="A176" s="49"/>
      <c r="B176" s="49"/>
      <c r="C176" s="50" t="s">
        <v>475</v>
      </c>
      <c r="D176" s="51"/>
      <c r="E176" s="52">
        <f aca="true" t="shared" si="20" ref="E176:O176">SUM(E157:E175)</f>
        <v>0</v>
      </c>
      <c r="F176" s="52">
        <f t="shared" si="20"/>
        <v>0</v>
      </c>
      <c r="G176" s="52">
        <f t="shared" si="20"/>
        <v>0</v>
      </c>
      <c r="H176" s="52">
        <f t="shared" si="20"/>
        <v>0</v>
      </c>
      <c r="I176" s="52">
        <f t="shared" si="20"/>
        <v>0</v>
      </c>
      <c r="J176" s="52">
        <f t="shared" si="20"/>
        <v>0</v>
      </c>
      <c r="K176" s="52">
        <f t="shared" si="20"/>
        <v>-5465</v>
      </c>
      <c r="L176" s="52">
        <f t="shared" si="20"/>
        <v>0</v>
      </c>
      <c r="M176" s="52">
        <f t="shared" si="20"/>
        <v>0</v>
      </c>
      <c r="N176" s="52">
        <f t="shared" si="20"/>
        <v>-95038</v>
      </c>
      <c r="O176" s="50">
        <f t="shared" si="20"/>
        <v>-100503</v>
      </c>
      <c r="P176" s="316"/>
    </row>
    <row r="177" spans="1:16" ht="25.5" customHeight="1">
      <c r="A177" s="49"/>
      <c r="B177" s="49"/>
      <c r="C177" s="904" t="s">
        <v>611</v>
      </c>
      <c r="D177" s="836"/>
      <c r="E177" s="52">
        <f aca="true" t="shared" si="21" ref="E177:O177">SUM(E35+E47+E62+E95+E100+E110+E116+E137+E138+E156+E176)</f>
        <v>54803</v>
      </c>
      <c r="F177" s="52">
        <f t="shared" si="21"/>
        <v>15588</v>
      </c>
      <c r="G177" s="52">
        <f t="shared" si="21"/>
        <v>172900</v>
      </c>
      <c r="H177" s="52">
        <f t="shared" si="21"/>
        <v>89391</v>
      </c>
      <c r="I177" s="52">
        <f t="shared" si="21"/>
        <v>74746</v>
      </c>
      <c r="J177" s="52">
        <f t="shared" si="21"/>
        <v>0</v>
      </c>
      <c r="K177" s="52">
        <f t="shared" si="21"/>
        <v>22093</v>
      </c>
      <c r="L177" s="52">
        <f t="shared" si="21"/>
        <v>270749</v>
      </c>
      <c r="M177" s="52">
        <f t="shared" si="21"/>
        <v>80186</v>
      </c>
      <c r="N177" s="52">
        <f t="shared" si="21"/>
        <v>-95038</v>
      </c>
      <c r="O177" s="52">
        <f t="shared" si="21"/>
        <v>685418</v>
      </c>
      <c r="P177" s="54"/>
    </row>
    <row r="178" spans="1:16" ht="12.75" customHeight="1">
      <c r="A178" s="45">
        <v>2</v>
      </c>
      <c r="B178" s="45"/>
      <c r="C178" s="264" t="s">
        <v>606</v>
      </c>
      <c r="D178" s="46"/>
      <c r="E178" s="47">
        <f>'táj.2.'!D45</f>
        <v>186278</v>
      </c>
      <c r="F178" s="47">
        <f>'táj.2.'!E45</f>
        <v>43353</v>
      </c>
      <c r="G178" s="47">
        <f>'táj.2.'!F45</f>
        <v>247124</v>
      </c>
      <c r="H178" s="47">
        <f>'táj.2.'!G45</f>
        <v>98846</v>
      </c>
      <c r="I178" s="47">
        <f>'táj.2.'!H45</f>
        <v>0</v>
      </c>
      <c r="J178" s="47">
        <f>'táj.2.'!I45</f>
        <v>19153</v>
      </c>
      <c r="K178" s="47">
        <f>'táj.2.'!J45</f>
        <v>24624</v>
      </c>
      <c r="L178" s="47">
        <f>'táj.2.'!K45</f>
        <v>-3651</v>
      </c>
      <c r="M178" s="47"/>
      <c r="N178" s="47"/>
      <c r="O178" s="41">
        <f>SUM(E178:N178)</f>
        <v>615727</v>
      </c>
      <c r="P178" s="54"/>
    </row>
    <row r="179" spans="1:16" ht="12.75" customHeight="1">
      <c r="A179" s="49"/>
      <c r="B179" s="49"/>
      <c r="C179" s="114" t="s">
        <v>476</v>
      </c>
      <c r="D179" s="51"/>
      <c r="E179" s="52">
        <f>SUM(E177:E178)</f>
        <v>241081</v>
      </c>
      <c r="F179" s="52">
        <f aca="true" t="shared" si="22" ref="F179:O179">SUM(F177:F178)</f>
        <v>58941</v>
      </c>
      <c r="G179" s="52">
        <f t="shared" si="22"/>
        <v>420024</v>
      </c>
      <c r="H179" s="52">
        <f t="shared" si="22"/>
        <v>188237</v>
      </c>
      <c r="I179" s="52">
        <f t="shared" si="22"/>
        <v>74746</v>
      </c>
      <c r="J179" s="52">
        <f t="shared" si="22"/>
        <v>19153</v>
      </c>
      <c r="K179" s="52">
        <f t="shared" si="22"/>
        <v>46717</v>
      </c>
      <c r="L179" s="52">
        <f t="shared" si="22"/>
        <v>267098</v>
      </c>
      <c r="M179" s="52">
        <f t="shared" si="22"/>
        <v>80186</v>
      </c>
      <c r="N179" s="52">
        <f t="shared" si="22"/>
        <v>-95038</v>
      </c>
      <c r="O179" s="52">
        <f t="shared" si="22"/>
        <v>1301145</v>
      </c>
      <c r="P179" s="54"/>
    </row>
    <row r="180" spans="3:4" ht="12.75">
      <c r="C180" s="894"/>
      <c r="D180" s="895"/>
    </row>
  </sheetData>
  <mergeCells count="83">
    <mergeCell ref="C7:D7"/>
    <mergeCell ref="C8:D8"/>
    <mergeCell ref="C104:D104"/>
    <mergeCell ref="C22:D22"/>
    <mergeCell ref="C23:D23"/>
    <mergeCell ref="C9:D9"/>
    <mergeCell ref="C10:D10"/>
    <mergeCell ref="C15:D15"/>
    <mergeCell ref="C30:D30"/>
    <mergeCell ref="C29:D29"/>
    <mergeCell ref="P1:P2"/>
    <mergeCell ref="J1:J2"/>
    <mergeCell ref="C177:D177"/>
    <mergeCell ref="C39:D39"/>
    <mergeCell ref="C169:D169"/>
    <mergeCell ref="C168:D168"/>
    <mergeCell ref="C150:D150"/>
    <mergeCell ref="C151:D151"/>
    <mergeCell ref="C156:D156"/>
    <mergeCell ref="C24:D24"/>
    <mergeCell ref="C180:D180"/>
    <mergeCell ref="C5:D5"/>
    <mergeCell ref="C49:D49"/>
    <mergeCell ref="C38:D38"/>
    <mergeCell ref="C13:D13"/>
    <mergeCell ref="C37:D37"/>
    <mergeCell ref="C12:D12"/>
    <mergeCell ref="C14:D14"/>
    <mergeCell ref="C6:D6"/>
    <mergeCell ref="C28:D28"/>
    <mergeCell ref="C172:D172"/>
    <mergeCell ref="C82:D82"/>
    <mergeCell ref="C120:D120"/>
    <mergeCell ref="C121:D121"/>
    <mergeCell ref="C170:D170"/>
    <mergeCell ref="C171:D171"/>
    <mergeCell ref="C103:D103"/>
    <mergeCell ref="C131:D131"/>
    <mergeCell ref="C130:D130"/>
    <mergeCell ref="C154:D154"/>
    <mergeCell ref="C19:D19"/>
    <mergeCell ref="C167:D167"/>
    <mergeCell ref="C126:D126"/>
    <mergeCell ref="C127:D127"/>
    <mergeCell ref="C125:D125"/>
    <mergeCell ref="C65:D65"/>
    <mergeCell ref="C56:D56"/>
    <mergeCell ref="C50:D50"/>
    <mergeCell ref="C84:D84"/>
    <mergeCell ref="C53:D53"/>
    <mergeCell ref="C54:D54"/>
    <mergeCell ref="C58:D58"/>
    <mergeCell ref="C60:D60"/>
    <mergeCell ref="C57:D57"/>
    <mergeCell ref="C64:D64"/>
    <mergeCell ref="C42:D42"/>
    <mergeCell ref="C55:D55"/>
    <mergeCell ref="C163:D163"/>
    <mergeCell ref="C113:D113"/>
    <mergeCell ref="C91:D91"/>
    <mergeCell ref="C162:D162"/>
    <mergeCell ref="C128:D128"/>
    <mergeCell ref="C134:D134"/>
    <mergeCell ref="C139:D139"/>
    <mergeCell ref="C68:D68"/>
    <mergeCell ref="C72:D72"/>
    <mergeCell ref="C73:D73"/>
    <mergeCell ref="C86:D86"/>
    <mergeCell ref="C81:D81"/>
    <mergeCell ref="C85:D85"/>
    <mergeCell ref="C165:D165"/>
    <mergeCell ref="C141:D141"/>
    <mergeCell ref="C102:D102"/>
    <mergeCell ref="C140:D140"/>
    <mergeCell ref="C124:D124"/>
    <mergeCell ref="C123:D123"/>
    <mergeCell ref="C122:D122"/>
    <mergeCell ref="C106:D106"/>
    <mergeCell ref="C129:D129"/>
    <mergeCell ref="C88:D88"/>
    <mergeCell ref="C87:D87"/>
    <mergeCell ref="C105:D105"/>
    <mergeCell ref="C112:D112"/>
  </mergeCells>
  <printOptions horizontalCentered="1" verticalCentered="1"/>
  <pageMargins left="0" right="0.2362204724409449" top="0.6692913385826772" bottom="1.1811023622047245" header="0.11811023622047245" footer="0.7086614173228347"/>
  <pageSetup horizontalDpi="300" verticalDpi="300" orientation="landscape" paperSize="9" scale="90" r:id="rId1"/>
  <headerFooter alignWithMargins="0">
    <oddHeader>&amp;CZALAEGERSZEG MEGYEI JOGÚ VÁROS ÖNKORMÁNYZATA
2012. ÉVI KIADÁSI ELŐIRÁNYZATAINAK MÓDOSÍTÁSA 
AZ  II. NEGYEDÉVBEN&amp;R&amp;"Times New Roman CE,Félkövér dőlt"12. sz. melléklet
Adatok: ezer Ft-ban</oddHeader>
    <oddFooter>&amp;L* kgy= közgyűlési hatáskörben
   pm= polgármesteri hatáskörben
   biz = bizottsági hatáskörben&amp;C&amp;P.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84"/>
  <sheetViews>
    <sheetView workbookViewId="0" topLeftCell="A55">
      <selection activeCell="B84" sqref="B84"/>
    </sheetView>
  </sheetViews>
  <sheetFormatPr defaultColWidth="9.00390625" defaultRowHeight="12.75"/>
  <cols>
    <col min="1" max="1" width="4.875" style="769" customWidth="1"/>
    <col min="2" max="2" width="89.50390625" style="769" customWidth="1"/>
    <col min="3" max="16384" width="10.625" style="769" customWidth="1"/>
  </cols>
  <sheetData>
    <row r="1" ht="13.5">
      <c r="B1" s="770" t="s">
        <v>194</v>
      </c>
    </row>
    <row r="3" spans="1:2" ht="13.5">
      <c r="A3" s="771"/>
      <c r="B3" s="770" t="s">
        <v>775</v>
      </c>
    </row>
    <row r="4" spans="1:2" ht="12.75">
      <c r="A4" s="772" t="s">
        <v>1008</v>
      </c>
      <c r="B4" s="773" t="s">
        <v>776</v>
      </c>
    </row>
    <row r="5" spans="1:2" ht="12.75">
      <c r="A5" s="772" t="s">
        <v>120</v>
      </c>
      <c r="B5" s="773" t="s">
        <v>948</v>
      </c>
    </row>
    <row r="6" spans="1:2" ht="12.75">
      <c r="A6" s="772"/>
      <c r="B6" s="773" t="s">
        <v>777</v>
      </c>
    </row>
    <row r="7" spans="1:2" ht="12.75">
      <c r="A7" s="772"/>
      <c r="B7" s="773" t="s">
        <v>778</v>
      </c>
    </row>
    <row r="8" spans="1:2" ht="12.75">
      <c r="A8" s="772" t="s">
        <v>122</v>
      </c>
      <c r="B8" s="774" t="s">
        <v>180</v>
      </c>
    </row>
    <row r="9" spans="1:2" ht="12.75">
      <c r="A9" s="772"/>
      <c r="B9" s="774" t="s">
        <v>779</v>
      </c>
    </row>
    <row r="10" spans="1:2" ht="12.75">
      <c r="A10" s="772"/>
      <c r="B10" s="774" t="s">
        <v>780</v>
      </c>
    </row>
    <row r="11" spans="1:2" ht="12.75">
      <c r="A11" s="772" t="s">
        <v>124</v>
      </c>
      <c r="B11" s="774" t="s">
        <v>781</v>
      </c>
    </row>
    <row r="12" spans="1:2" ht="12.75">
      <c r="A12" s="772"/>
      <c r="B12" s="774" t="s">
        <v>782</v>
      </c>
    </row>
    <row r="13" spans="1:2" ht="12.75">
      <c r="A13" s="772"/>
      <c r="B13" s="774" t="s">
        <v>783</v>
      </c>
    </row>
    <row r="14" spans="1:2" ht="12.75">
      <c r="A14" s="772" t="s">
        <v>125</v>
      </c>
      <c r="B14" s="774" t="s">
        <v>784</v>
      </c>
    </row>
    <row r="15" spans="1:2" ht="12.75">
      <c r="A15" s="772"/>
      <c r="B15" s="774" t="s">
        <v>785</v>
      </c>
    </row>
    <row r="16" spans="1:2" ht="12.75">
      <c r="A16" s="772" t="s">
        <v>126</v>
      </c>
      <c r="B16" s="774" t="s">
        <v>786</v>
      </c>
    </row>
    <row r="17" spans="1:2" ht="12.75">
      <c r="A17" s="772"/>
      <c r="B17" s="774" t="s">
        <v>787</v>
      </c>
    </row>
    <row r="18" spans="1:2" ht="25.5">
      <c r="A18" s="772" t="s">
        <v>170</v>
      </c>
      <c r="B18" s="774" t="s">
        <v>788</v>
      </c>
    </row>
    <row r="19" spans="1:2" ht="12.75">
      <c r="A19" s="772" t="s">
        <v>171</v>
      </c>
      <c r="B19" s="774" t="s">
        <v>789</v>
      </c>
    </row>
    <row r="20" ht="12.75">
      <c r="B20" s="773"/>
    </row>
    <row r="21" spans="1:2" ht="13.5">
      <c r="A21" s="772"/>
      <c r="B21" s="775" t="s">
        <v>790</v>
      </c>
    </row>
    <row r="22" spans="1:2" ht="12.75">
      <c r="A22" s="772" t="s">
        <v>1008</v>
      </c>
      <c r="B22" s="774" t="s">
        <v>95</v>
      </c>
    </row>
    <row r="23" spans="1:2" ht="12.75">
      <c r="A23" s="772" t="s">
        <v>120</v>
      </c>
      <c r="B23" s="774" t="s">
        <v>791</v>
      </c>
    </row>
    <row r="24" spans="1:2" ht="12.75">
      <c r="A24" s="772" t="s">
        <v>122</v>
      </c>
      <c r="B24" s="774" t="s">
        <v>792</v>
      </c>
    </row>
    <row r="25" spans="1:2" ht="12.75">
      <c r="A25" s="772" t="s">
        <v>124</v>
      </c>
      <c r="B25" s="774" t="s">
        <v>793</v>
      </c>
    </row>
    <row r="26" spans="1:2" ht="12.75">
      <c r="A26" s="772" t="s">
        <v>125</v>
      </c>
      <c r="B26" s="774" t="s">
        <v>794</v>
      </c>
    </row>
    <row r="27" spans="1:2" ht="12.75">
      <c r="A27" s="772"/>
      <c r="B27" s="774" t="s">
        <v>795</v>
      </c>
    </row>
    <row r="28" spans="1:2" ht="12.75">
      <c r="A28" s="772"/>
      <c r="B28" s="774" t="s">
        <v>796</v>
      </c>
    </row>
    <row r="29" spans="1:2" ht="12.75">
      <c r="A29" s="772" t="s">
        <v>126</v>
      </c>
      <c r="B29" s="774" t="s">
        <v>797</v>
      </c>
    </row>
    <row r="30" spans="1:2" ht="12.75">
      <c r="A30" s="772"/>
      <c r="B30" s="774" t="s">
        <v>798</v>
      </c>
    </row>
    <row r="31" spans="1:2" ht="12.75">
      <c r="A31" s="772"/>
      <c r="B31" s="774" t="s">
        <v>799</v>
      </c>
    </row>
    <row r="32" spans="1:2" ht="12.75">
      <c r="A32" s="772" t="s">
        <v>170</v>
      </c>
      <c r="B32" s="774" t="s">
        <v>949</v>
      </c>
    </row>
    <row r="33" spans="1:2" ht="12.75">
      <c r="A33" s="772"/>
      <c r="B33" s="774" t="s">
        <v>800</v>
      </c>
    </row>
    <row r="34" spans="1:2" ht="12.75">
      <c r="A34" s="772"/>
      <c r="B34" s="773" t="s">
        <v>801</v>
      </c>
    </row>
    <row r="35" spans="1:2" ht="12.75">
      <c r="A35" s="772" t="s">
        <v>171</v>
      </c>
      <c r="B35" s="773" t="s">
        <v>157</v>
      </c>
    </row>
    <row r="36" spans="1:2" ht="12.75">
      <c r="A36" s="772"/>
      <c r="B36" s="774" t="s">
        <v>802</v>
      </c>
    </row>
    <row r="37" spans="1:2" ht="12.75">
      <c r="A37" s="772"/>
      <c r="B37" s="773" t="s">
        <v>803</v>
      </c>
    </row>
    <row r="38" spans="1:2" ht="12.75">
      <c r="A38" s="772"/>
      <c r="B38" s="773" t="s">
        <v>804</v>
      </c>
    </row>
    <row r="39" spans="1:2" ht="12.75">
      <c r="A39" s="772"/>
      <c r="B39" s="773"/>
    </row>
    <row r="40" spans="1:2" ht="13.5">
      <c r="A40" s="772"/>
      <c r="B40" s="770" t="s">
        <v>805</v>
      </c>
    </row>
    <row r="41" spans="1:2" ht="12.75">
      <c r="A41" s="772" t="s">
        <v>1008</v>
      </c>
      <c r="B41" s="776" t="s">
        <v>1220</v>
      </c>
    </row>
    <row r="42" spans="1:2" ht="12.75">
      <c r="A42" s="772"/>
      <c r="B42" s="773" t="s">
        <v>806</v>
      </c>
    </row>
    <row r="43" spans="1:2" ht="12.75">
      <c r="A43" s="772"/>
      <c r="B43" s="773" t="s">
        <v>841</v>
      </c>
    </row>
    <row r="44" spans="1:2" ht="12.75">
      <c r="A44" s="772"/>
      <c r="B44" s="773" t="s">
        <v>807</v>
      </c>
    </row>
    <row r="45" spans="1:2" ht="12.75">
      <c r="A45" s="772"/>
      <c r="B45" s="773" t="s">
        <v>808</v>
      </c>
    </row>
    <row r="46" spans="1:2" ht="12.75">
      <c r="A46" s="772"/>
      <c r="B46" s="773" t="s">
        <v>809</v>
      </c>
    </row>
    <row r="47" spans="1:2" ht="12.75">
      <c r="A47" s="772"/>
      <c r="B47" s="773" t="s">
        <v>810</v>
      </c>
    </row>
    <row r="48" spans="1:2" ht="12.75">
      <c r="A48" s="772"/>
      <c r="B48" s="773" t="s">
        <v>811</v>
      </c>
    </row>
    <row r="49" spans="1:2" ht="12.75">
      <c r="A49" s="772" t="s">
        <v>120</v>
      </c>
      <c r="B49" s="776" t="s">
        <v>840</v>
      </c>
    </row>
    <row r="50" spans="1:2" ht="12.75">
      <c r="A50" s="772"/>
      <c r="B50" s="773" t="s">
        <v>812</v>
      </c>
    </row>
    <row r="51" spans="1:2" ht="12.75">
      <c r="A51" s="772"/>
      <c r="B51" s="773" t="s">
        <v>813</v>
      </c>
    </row>
    <row r="52" spans="1:2" ht="12.75">
      <c r="A52" s="772"/>
      <c r="B52" s="773" t="s">
        <v>814</v>
      </c>
    </row>
    <row r="53" spans="1:2" ht="12.75">
      <c r="A53" s="772"/>
      <c r="B53" s="773" t="s">
        <v>815</v>
      </c>
    </row>
    <row r="54" spans="1:2" ht="12.75">
      <c r="A54" s="772"/>
      <c r="B54" s="773" t="s">
        <v>842</v>
      </c>
    </row>
    <row r="55" spans="1:2" ht="12.75">
      <c r="A55" s="772"/>
      <c r="B55" s="773"/>
    </row>
    <row r="56" spans="1:2" ht="12.75">
      <c r="A56" s="772"/>
      <c r="B56" s="773"/>
    </row>
    <row r="57" spans="1:2" ht="12.75">
      <c r="A57" s="772" t="s">
        <v>122</v>
      </c>
      <c r="B57" s="776" t="s">
        <v>538</v>
      </c>
    </row>
    <row r="58" spans="1:2" ht="12.75">
      <c r="A58" s="772"/>
      <c r="B58" s="776" t="s">
        <v>816</v>
      </c>
    </row>
    <row r="59" spans="1:2" ht="12.75">
      <c r="A59" s="772"/>
      <c r="B59" s="773" t="s">
        <v>817</v>
      </c>
    </row>
    <row r="60" spans="1:2" ht="12.75">
      <c r="A60" s="772"/>
      <c r="B60" s="773" t="s">
        <v>818</v>
      </c>
    </row>
    <row r="61" spans="1:2" ht="12.75">
      <c r="A61" s="772"/>
      <c r="B61" s="773" t="s">
        <v>819</v>
      </c>
    </row>
    <row r="62" spans="1:2" ht="12.75">
      <c r="A62" s="772"/>
      <c r="B62" s="773" t="s">
        <v>820</v>
      </c>
    </row>
    <row r="63" spans="1:2" ht="12.75">
      <c r="A63" s="772"/>
      <c r="B63" s="776" t="s">
        <v>821</v>
      </c>
    </row>
    <row r="64" spans="1:2" ht="12.75">
      <c r="A64" s="772"/>
      <c r="B64" s="773" t="s">
        <v>822</v>
      </c>
    </row>
    <row r="65" spans="1:2" ht="12.75">
      <c r="A65" s="772"/>
      <c r="B65" s="773" t="s">
        <v>823</v>
      </c>
    </row>
    <row r="66" spans="1:2" ht="12.75">
      <c r="A66" s="772"/>
      <c r="B66" s="773" t="s">
        <v>824</v>
      </c>
    </row>
    <row r="67" spans="1:2" ht="12.75">
      <c r="A67" s="772"/>
      <c r="B67" s="773" t="s">
        <v>825</v>
      </c>
    </row>
    <row r="68" spans="1:2" ht="12.75">
      <c r="A68" s="772"/>
      <c r="B68" s="776" t="s">
        <v>826</v>
      </c>
    </row>
    <row r="69" spans="1:2" ht="12.75">
      <c r="A69" s="772"/>
      <c r="B69" s="773" t="s">
        <v>827</v>
      </c>
    </row>
    <row r="70" spans="1:2" ht="12.75">
      <c r="A70" s="772"/>
      <c r="B70" s="773" t="s">
        <v>828</v>
      </c>
    </row>
    <row r="71" spans="1:2" ht="12.75">
      <c r="A71" s="772"/>
      <c r="B71" s="776" t="s">
        <v>829</v>
      </c>
    </row>
    <row r="72" spans="1:2" ht="12.75">
      <c r="A72" s="772"/>
      <c r="B72" s="773" t="s">
        <v>830</v>
      </c>
    </row>
    <row r="73" spans="1:2" ht="12.75">
      <c r="A73" s="772"/>
      <c r="B73" s="773" t="s">
        <v>831</v>
      </c>
    </row>
    <row r="74" spans="1:2" ht="12.75">
      <c r="A74" s="772"/>
      <c r="B74" s="773" t="s">
        <v>832</v>
      </c>
    </row>
    <row r="75" spans="1:2" ht="12.75">
      <c r="A75" s="772"/>
      <c r="B75" s="773" t="s">
        <v>833</v>
      </c>
    </row>
    <row r="76" spans="1:2" ht="12.75">
      <c r="A76" s="772" t="s">
        <v>124</v>
      </c>
      <c r="B76" s="776" t="s">
        <v>834</v>
      </c>
    </row>
    <row r="77" spans="1:2" ht="12.75">
      <c r="A77" s="772"/>
      <c r="B77" s="773" t="s">
        <v>835</v>
      </c>
    </row>
    <row r="78" spans="1:2" ht="12.75">
      <c r="A78" s="772"/>
      <c r="B78" s="773" t="s">
        <v>836</v>
      </c>
    </row>
    <row r="79" spans="1:2" ht="12.75">
      <c r="A79" s="772"/>
      <c r="B79" s="773" t="s">
        <v>837</v>
      </c>
    </row>
    <row r="80" spans="1:2" ht="12.75">
      <c r="A80" s="772"/>
      <c r="B80" s="773" t="s">
        <v>838</v>
      </c>
    </row>
    <row r="81" spans="1:2" ht="12.75">
      <c r="A81" s="772" t="s">
        <v>125</v>
      </c>
      <c r="B81" s="776" t="s">
        <v>540</v>
      </c>
    </row>
    <row r="82" spans="1:2" ht="12.75">
      <c r="A82" s="772" t="s">
        <v>126</v>
      </c>
      <c r="B82" s="776" t="s">
        <v>839</v>
      </c>
    </row>
    <row r="83" spans="1:2" ht="12.75">
      <c r="A83" s="772" t="s">
        <v>170</v>
      </c>
      <c r="B83" s="776" t="s">
        <v>542</v>
      </c>
    </row>
    <row r="84" spans="1:2" ht="12.75">
      <c r="A84" s="777" t="s">
        <v>171</v>
      </c>
      <c r="B84" s="776" t="s">
        <v>843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headerFooter alignWithMargins="0">
    <oddHeader>&amp;C&amp;"Arial,Félkövér dőlt"A közbeszerzés hatálya alá tartozó költségvetési szervek  köre     
(villamosenergia és a 20m&amp;X3&amp;X/h feletti kapacitás lekötésű fogyasztási helyek földgáz beszerzése)&amp;R13. sz. melléklet</oddHeader>
  </headerFooter>
  <rowBreaks count="1" manualBreakCount="1">
    <brk id="5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78"/>
  <sheetViews>
    <sheetView workbookViewId="0" topLeftCell="A1">
      <pane ySplit="2" topLeftCell="BM33" activePane="bottomLeft" state="frozen"/>
      <selection pane="topLeft" activeCell="A1" sqref="A1"/>
      <selection pane="bottomLeft" activeCell="A46" sqref="A46"/>
    </sheetView>
  </sheetViews>
  <sheetFormatPr defaultColWidth="9.00390625" defaultRowHeight="12.75"/>
  <cols>
    <col min="1" max="1" width="5.00390625" style="96" customWidth="1"/>
    <col min="2" max="2" width="5.125" style="96" customWidth="1"/>
    <col min="3" max="3" width="35.125" style="96" customWidth="1"/>
    <col min="4" max="5" width="10.50390625" style="96" customWidth="1"/>
    <col min="6" max="6" width="12.625" style="96" customWidth="1"/>
    <col min="7" max="7" width="8.625" style="96" customWidth="1"/>
    <col min="8" max="8" width="11.50390625" style="96" customWidth="1"/>
    <col min="9" max="9" width="9.875" style="96" customWidth="1"/>
    <col min="10" max="10" width="8.625" style="96" customWidth="1"/>
    <col min="11" max="11" width="10.625" style="96" customWidth="1"/>
    <col min="12" max="12" width="5.625" style="96" customWidth="1"/>
    <col min="13" max="13" width="10.50390625" style="96" customWidth="1"/>
    <col min="14" max="14" width="12.625" style="96" customWidth="1"/>
    <col min="15" max="16384" width="9.375" style="96" customWidth="1"/>
  </cols>
  <sheetData>
    <row r="1" spans="1:16" s="105" customFormat="1" ht="24" customHeight="1">
      <c r="A1" s="144"/>
      <c r="B1" s="145"/>
      <c r="C1" s="146"/>
      <c r="D1" s="912" t="s">
        <v>247</v>
      </c>
      <c r="E1" s="913"/>
      <c r="F1" s="147" t="s">
        <v>543</v>
      </c>
      <c r="G1" s="147" t="s">
        <v>544</v>
      </c>
      <c r="H1" s="168" t="s">
        <v>246</v>
      </c>
      <c r="I1" s="168"/>
      <c r="J1" s="912" t="s">
        <v>248</v>
      </c>
      <c r="K1" s="914"/>
      <c r="L1" s="392" t="s">
        <v>425</v>
      </c>
      <c r="M1" s="147" t="s">
        <v>545</v>
      </c>
      <c r="N1" s="148" t="s">
        <v>546</v>
      </c>
      <c r="O1" s="104"/>
      <c r="P1" s="104"/>
    </row>
    <row r="2" spans="1:16" s="107" customFormat="1" ht="43.5" customHeight="1">
      <c r="A2" s="552" t="s">
        <v>517</v>
      </c>
      <c r="B2" s="545" t="s">
        <v>518</v>
      </c>
      <c r="C2" s="546" t="s">
        <v>612</v>
      </c>
      <c r="D2" s="547" t="s">
        <v>244</v>
      </c>
      <c r="E2" s="553" t="s">
        <v>245</v>
      </c>
      <c r="F2" s="548" t="s">
        <v>670</v>
      </c>
      <c r="G2" s="548" t="s">
        <v>671</v>
      </c>
      <c r="H2" s="549" t="s">
        <v>208</v>
      </c>
      <c r="I2" s="550" t="s">
        <v>256</v>
      </c>
      <c r="J2" s="547" t="s">
        <v>244</v>
      </c>
      <c r="K2" s="553" t="s">
        <v>245</v>
      </c>
      <c r="L2" s="551" t="s">
        <v>426</v>
      </c>
      <c r="M2" s="548" t="s">
        <v>673</v>
      </c>
      <c r="N2" s="554" t="s">
        <v>674</v>
      </c>
      <c r="O2" s="106"/>
      <c r="P2" s="106"/>
    </row>
    <row r="3" spans="1:16" s="107" customFormat="1" ht="18" customHeight="1">
      <c r="A3" s="763">
        <v>2</v>
      </c>
      <c r="B3" s="763">
        <v>1</v>
      </c>
      <c r="C3" s="572" t="s">
        <v>194</v>
      </c>
      <c r="D3" s="695"/>
      <c r="E3" s="558"/>
      <c r="F3" s="685">
        <v>-77814</v>
      </c>
      <c r="G3" s="557"/>
      <c r="H3" s="557"/>
      <c r="I3" s="557"/>
      <c r="J3" s="558"/>
      <c r="K3" s="558"/>
      <c r="L3" s="559"/>
      <c r="M3" s="557"/>
      <c r="N3" s="556">
        <f aca="true" t="shared" si="0" ref="N3:N24">SUM(D3:M3)</f>
        <v>-77814</v>
      </c>
      <c r="O3" s="106"/>
      <c r="P3" s="106"/>
    </row>
    <row r="4" spans="1:14" ht="24" customHeight="1">
      <c r="A4" s="555">
        <v>2</v>
      </c>
      <c r="B4" s="555">
        <v>2</v>
      </c>
      <c r="C4" s="471" t="s">
        <v>669</v>
      </c>
      <c r="D4" s="378"/>
      <c r="E4" s="378">
        <v>4755</v>
      </c>
      <c r="F4" s="378">
        <v>12935</v>
      </c>
      <c r="G4" s="378"/>
      <c r="H4" s="378">
        <v>492</v>
      </c>
      <c r="I4" s="378">
        <v>300</v>
      </c>
      <c r="J4" s="378"/>
      <c r="K4" s="378">
        <v>1245</v>
      </c>
      <c r="L4" s="378"/>
      <c r="M4" s="378">
        <v>8629</v>
      </c>
      <c r="N4" s="556">
        <f t="shared" si="0"/>
        <v>28356</v>
      </c>
    </row>
    <row r="5" spans="1:14" ht="15.75" customHeight="1">
      <c r="A5" s="149">
        <v>2</v>
      </c>
      <c r="B5" s="149">
        <v>3</v>
      </c>
      <c r="C5" s="150" t="s">
        <v>524</v>
      </c>
      <c r="D5" s="151">
        <v>35</v>
      </c>
      <c r="E5" s="151">
        <v>148</v>
      </c>
      <c r="F5" s="151">
        <v>10539</v>
      </c>
      <c r="G5" s="151"/>
      <c r="H5" s="151">
        <v>2618</v>
      </c>
      <c r="I5" s="151"/>
      <c r="J5" s="151"/>
      <c r="K5" s="151"/>
      <c r="L5" s="151"/>
      <c r="M5" s="151">
        <v>4468</v>
      </c>
      <c r="N5" s="152">
        <f t="shared" si="0"/>
        <v>17808</v>
      </c>
    </row>
    <row r="6" spans="1:14" ht="24.75" customHeight="1">
      <c r="A6" s="149">
        <v>2</v>
      </c>
      <c r="B6" s="149">
        <v>4</v>
      </c>
      <c r="C6" s="157" t="s">
        <v>948</v>
      </c>
      <c r="D6" s="151"/>
      <c r="E6" s="151">
        <v>54</v>
      </c>
      <c r="F6" s="151">
        <v>19048</v>
      </c>
      <c r="G6" s="151"/>
      <c r="H6" s="151">
        <v>7139</v>
      </c>
      <c r="I6" s="151"/>
      <c r="J6" s="151"/>
      <c r="K6" s="151"/>
      <c r="L6" s="151"/>
      <c r="M6" s="151">
        <v>16316</v>
      </c>
      <c r="N6" s="152">
        <f t="shared" si="0"/>
        <v>42557</v>
      </c>
    </row>
    <row r="7" spans="1:14" ht="15.75" customHeight="1">
      <c r="A7" s="149">
        <v>2</v>
      </c>
      <c r="B7" s="149">
        <v>5</v>
      </c>
      <c r="C7" s="150" t="s">
        <v>527</v>
      </c>
      <c r="D7" s="151">
        <v>147</v>
      </c>
      <c r="E7" s="151">
        <v>125</v>
      </c>
      <c r="F7" s="151">
        <v>4468</v>
      </c>
      <c r="G7" s="151"/>
      <c r="H7" s="151">
        <v>-7638</v>
      </c>
      <c r="I7" s="151"/>
      <c r="J7" s="151"/>
      <c r="K7" s="151"/>
      <c r="L7" s="151"/>
      <c r="M7" s="151">
        <v>9235</v>
      </c>
      <c r="N7" s="152">
        <f t="shared" si="0"/>
        <v>6337</v>
      </c>
    </row>
    <row r="8" spans="1:14" ht="15.75" customHeight="1">
      <c r="A8" s="149">
        <v>2</v>
      </c>
      <c r="B8" s="149">
        <v>6</v>
      </c>
      <c r="C8" s="150" t="s">
        <v>180</v>
      </c>
      <c r="D8" s="151"/>
      <c r="E8" s="151"/>
      <c r="F8" s="151">
        <v>15705</v>
      </c>
      <c r="G8" s="151"/>
      <c r="H8" s="151">
        <v>-30381</v>
      </c>
      <c r="I8" s="151"/>
      <c r="J8" s="151"/>
      <c r="K8" s="151"/>
      <c r="L8" s="151"/>
      <c r="M8" s="151">
        <v>17614</v>
      </c>
      <c r="N8" s="152">
        <f t="shared" si="0"/>
        <v>2938</v>
      </c>
    </row>
    <row r="9" spans="1:14" ht="15.75" customHeight="1">
      <c r="A9" s="149">
        <v>2</v>
      </c>
      <c r="B9" s="149">
        <v>7</v>
      </c>
      <c r="C9" s="470" t="s">
        <v>628</v>
      </c>
      <c r="D9" s="151"/>
      <c r="E9" s="151"/>
      <c r="F9" s="151">
        <v>16140</v>
      </c>
      <c r="G9" s="151"/>
      <c r="H9" s="151">
        <v>-8847</v>
      </c>
      <c r="I9" s="151"/>
      <c r="J9" s="151"/>
      <c r="K9" s="151">
        <v>920</v>
      </c>
      <c r="L9" s="153"/>
      <c r="M9" s="151">
        <v>2037</v>
      </c>
      <c r="N9" s="152">
        <f t="shared" si="0"/>
        <v>10250</v>
      </c>
    </row>
    <row r="10" spans="1:14" ht="15.75" customHeight="1">
      <c r="A10" s="149">
        <v>2</v>
      </c>
      <c r="B10" s="149">
        <v>8</v>
      </c>
      <c r="C10" s="150" t="s">
        <v>528</v>
      </c>
      <c r="D10" s="151"/>
      <c r="E10" s="151"/>
      <c r="F10" s="151">
        <v>8099</v>
      </c>
      <c r="G10" s="151"/>
      <c r="H10" s="151">
        <v>1290</v>
      </c>
      <c r="I10" s="151"/>
      <c r="J10" s="151"/>
      <c r="K10" s="151"/>
      <c r="L10" s="153"/>
      <c r="M10" s="151">
        <v>594</v>
      </c>
      <c r="N10" s="152">
        <f t="shared" si="0"/>
        <v>9983</v>
      </c>
    </row>
    <row r="11" spans="1:14" ht="15.75" customHeight="1">
      <c r="A11" s="149">
        <v>2</v>
      </c>
      <c r="B11" s="149">
        <v>9</v>
      </c>
      <c r="C11" s="150" t="s">
        <v>525</v>
      </c>
      <c r="D11" s="151"/>
      <c r="E11" s="151"/>
      <c r="F11" s="151">
        <v>4644</v>
      </c>
      <c r="G11" s="151"/>
      <c r="H11" s="151">
        <v>50</v>
      </c>
      <c r="I11" s="151"/>
      <c r="J11" s="151"/>
      <c r="K11" s="151"/>
      <c r="L11" s="151"/>
      <c r="M11" s="151">
        <v>3946</v>
      </c>
      <c r="N11" s="152">
        <f t="shared" si="0"/>
        <v>8640</v>
      </c>
    </row>
    <row r="12" spans="1:14" ht="15.75" customHeight="1">
      <c r="A12" s="154"/>
      <c r="B12" s="154"/>
      <c r="C12" s="155" t="s">
        <v>529</v>
      </c>
      <c r="D12" s="156">
        <f>SUM(D4:D11)</f>
        <v>182</v>
      </c>
      <c r="E12" s="156">
        <f>SUM(E4:E11)</f>
        <v>5082</v>
      </c>
      <c r="F12" s="156">
        <f>SUM(F4:F11)</f>
        <v>91578</v>
      </c>
      <c r="G12" s="156">
        <f aca="true" t="shared" si="1" ref="G12:M12">SUM(G4:G11)</f>
        <v>0</v>
      </c>
      <c r="H12" s="156">
        <f t="shared" si="1"/>
        <v>-35277</v>
      </c>
      <c r="I12" s="156">
        <f t="shared" si="1"/>
        <v>300</v>
      </c>
      <c r="J12" s="156">
        <f t="shared" si="1"/>
        <v>0</v>
      </c>
      <c r="K12" s="156">
        <f t="shared" si="1"/>
        <v>2165</v>
      </c>
      <c r="L12" s="156">
        <f t="shared" si="1"/>
        <v>0</v>
      </c>
      <c r="M12" s="156">
        <f t="shared" si="1"/>
        <v>62839</v>
      </c>
      <c r="N12" s="319">
        <f t="shared" si="0"/>
        <v>126869</v>
      </c>
    </row>
    <row r="13" spans="1:14" ht="15.75" customHeight="1">
      <c r="A13" s="149">
        <v>2</v>
      </c>
      <c r="B13" s="149">
        <v>10</v>
      </c>
      <c r="C13" s="150" t="s">
        <v>530</v>
      </c>
      <c r="D13" s="151">
        <v>1872</v>
      </c>
      <c r="E13" s="151"/>
      <c r="F13" s="151">
        <v>8505</v>
      </c>
      <c r="G13" s="151"/>
      <c r="H13" s="151">
        <v>686</v>
      </c>
      <c r="I13" s="151"/>
      <c r="J13" s="151"/>
      <c r="K13" s="151"/>
      <c r="L13" s="151"/>
      <c r="M13" s="151">
        <v>21342</v>
      </c>
      <c r="N13" s="152">
        <f t="shared" si="0"/>
        <v>32405</v>
      </c>
    </row>
    <row r="14" spans="1:14" ht="15.75" customHeight="1">
      <c r="A14" s="149">
        <v>2</v>
      </c>
      <c r="B14" s="149">
        <v>11</v>
      </c>
      <c r="C14" s="150" t="s">
        <v>531</v>
      </c>
      <c r="D14" s="151">
        <v>646</v>
      </c>
      <c r="E14" s="151"/>
      <c r="F14" s="151">
        <v>7733</v>
      </c>
      <c r="G14" s="151"/>
      <c r="H14" s="151">
        <v>1294</v>
      </c>
      <c r="I14" s="151">
        <v>355</v>
      </c>
      <c r="J14" s="151">
        <v>98</v>
      </c>
      <c r="K14" s="151"/>
      <c r="L14" s="151"/>
      <c r="M14" s="151">
        <v>5710</v>
      </c>
      <c r="N14" s="152">
        <f t="shared" si="0"/>
        <v>15836</v>
      </c>
    </row>
    <row r="15" spans="1:14" ht="15.75" customHeight="1">
      <c r="A15" s="149">
        <v>2</v>
      </c>
      <c r="B15" s="149">
        <v>12</v>
      </c>
      <c r="C15" s="150" t="s">
        <v>95</v>
      </c>
      <c r="D15" s="151"/>
      <c r="E15" s="151"/>
      <c r="F15" s="151">
        <v>5005</v>
      </c>
      <c r="G15" s="151"/>
      <c r="H15" s="151"/>
      <c r="I15" s="151"/>
      <c r="J15" s="151"/>
      <c r="K15" s="151"/>
      <c r="L15" s="151"/>
      <c r="M15" s="151">
        <v>9326</v>
      </c>
      <c r="N15" s="152">
        <f t="shared" si="0"/>
        <v>14331</v>
      </c>
    </row>
    <row r="16" spans="1:14" ht="15.75" customHeight="1">
      <c r="A16" s="149">
        <v>2</v>
      </c>
      <c r="B16" s="149">
        <v>13</v>
      </c>
      <c r="C16" s="150" t="s">
        <v>532</v>
      </c>
      <c r="D16" s="151"/>
      <c r="E16" s="151">
        <v>4014</v>
      </c>
      <c r="F16" s="151">
        <v>8015</v>
      </c>
      <c r="G16" s="151"/>
      <c r="H16" s="151"/>
      <c r="I16" s="151"/>
      <c r="J16" s="151"/>
      <c r="K16" s="151">
        <v>11056</v>
      </c>
      <c r="L16" s="151"/>
      <c r="M16" s="151">
        <v>720</v>
      </c>
      <c r="N16" s="152">
        <f t="shared" si="0"/>
        <v>23805</v>
      </c>
    </row>
    <row r="17" spans="1:14" ht="24.75" customHeight="1">
      <c r="A17" s="149">
        <v>2</v>
      </c>
      <c r="B17" s="149">
        <v>14</v>
      </c>
      <c r="C17" s="157" t="s">
        <v>156</v>
      </c>
      <c r="D17" s="151">
        <v>-3094</v>
      </c>
      <c r="E17" s="151"/>
      <c r="F17" s="151">
        <v>22892</v>
      </c>
      <c r="G17" s="151"/>
      <c r="H17" s="151">
        <v>8799</v>
      </c>
      <c r="I17" s="151">
        <v>3199</v>
      </c>
      <c r="J17" s="151"/>
      <c r="K17" s="151"/>
      <c r="L17" s="151"/>
      <c r="M17" s="151">
        <v>16483</v>
      </c>
      <c r="N17" s="152">
        <f t="shared" si="0"/>
        <v>48279</v>
      </c>
    </row>
    <row r="18" spans="1:14" ht="24.75" customHeight="1">
      <c r="A18" s="149">
        <v>2</v>
      </c>
      <c r="B18" s="149">
        <v>15</v>
      </c>
      <c r="C18" s="470" t="s">
        <v>668</v>
      </c>
      <c r="D18" s="151">
        <v>-130</v>
      </c>
      <c r="E18" s="151">
        <v>80</v>
      </c>
      <c r="F18" s="151">
        <v>15019</v>
      </c>
      <c r="G18" s="151"/>
      <c r="H18" s="151">
        <v>1203</v>
      </c>
      <c r="I18" s="151"/>
      <c r="J18" s="151">
        <v>130</v>
      </c>
      <c r="K18" s="151"/>
      <c r="L18" s="151"/>
      <c r="M18" s="151">
        <v>2035</v>
      </c>
      <c r="N18" s="152">
        <f t="shared" si="0"/>
        <v>18337</v>
      </c>
    </row>
    <row r="19" spans="1:14" ht="15" customHeight="1">
      <c r="A19" s="149">
        <v>2</v>
      </c>
      <c r="B19" s="149">
        <v>16</v>
      </c>
      <c r="C19" s="157" t="s">
        <v>949</v>
      </c>
      <c r="D19" s="151"/>
      <c r="E19" s="151"/>
      <c r="F19" s="151">
        <v>14503</v>
      </c>
      <c r="G19" s="151"/>
      <c r="H19" s="151">
        <v>5476</v>
      </c>
      <c r="I19" s="151"/>
      <c r="J19" s="151"/>
      <c r="K19" s="151"/>
      <c r="L19" s="151"/>
      <c r="M19" s="151">
        <v>6911</v>
      </c>
      <c r="N19" s="152">
        <f t="shared" si="0"/>
        <v>26890</v>
      </c>
    </row>
    <row r="20" spans="1:14" ht="15.75" customHeight="1">
      <c r="A20" s="149">
        <v>2</v>
      </c>
      <c r="B20" s="149">
        <v>17</v>
      </c>
      <c r="C20" s="150" t="s">
        <v>96</v>
      </c>
      <c r="D20" s="412"/>
      <c r="E20" s="412"/>
      <c r="F20" s="413">
        <v>5418</v>
      </c>
      <c r="G20" s="412"/>
      <c r="H20" s="412">
        <v>60</v>
      </c>
      <c r="I20" s="412"/>
      <c r="J20" s="412"/>
      <c r="K20" s="412"/>
      <c r="L20" s="412"/>
      <c r="M20" s="413">
        <v>10931</v>
      </c>
      <c r="N20" s="152">
        <f t="shared" si="0"/>
        <v>16409</v>
      </c>
    </row>
    <row r="21" spans="1:14" ht="15.75" customHeight="1">
      <c r="A21" s="154"/>
      <c r="B21" s="154"/>
      <c r="C21" s="155" t="s">
        <v>100</v>
      </c>
      <c r="D21" s="156">
        <f>SUM(D13:D20)</f>
        <v>-706</v>
      </c>
      <c r="E21" s="156">
        <f>SUM(E13:E20)</f>
        <v>4094</v>
      </c>
      <c r="F21" s="156">
        <f>SUM(F13:F20)</f>
        <v>87090</v>
      </c>
      <c r="G21" s="156">
        <f aca="true" t="shared" si="2" ref="G21:M21">SUM(G13:G20)</f>
        <v>0</v>
      </c>
      <c r="H21" s="156">
        <f t="shared" si="2"/>
        <v>17518</v>
      </c>
      <c r="I21" s="156">
        <f t="shared" si="2"/>
        <v>3554</v>
      </c>
      <c r="J21" s="156">
        <f t="shared" si="2"/>
        <v>228</v>
      </c>
      <c r="K21" s="156">
        <f t="shared" si="2"/>
        <v>11056</v>
      </c>
      <c r="L21" s="156">
        <f t="shared" si="2"/>
        <v>0</v>
      </c>
      <c r="M21" s="156">
        <f t="shared" si="2"/>
        <v>73458</v>
      </c>
      <c r="N21" s="319">
        <f t="shared" si="0"/>
        <v>196292</v>
      </c>
    </row>
    <row r="22" spans="1:14" ht="15.75" customHeight="1">
      <c r="A22" s="158"/>
      <c r="B22" s="158"/>
      <c r="C22" s="155" t="s">
        <v>533</v>
      </c>
      <c r="D22" s="156">
        <f aca="true" t="shared" si="3" ref="D22:M22">SUM(D12+D21)</f>
        <v>-524</v>
      </c>
      <c r="E22" s="156">
        <f t="shared" si="3"/>
        <v>9176</v>
      </c>
      <c r="F22" s="156">
        <f t="shared" si="3"/>
        <v>178668</v>
      </c>
      <c r="G22" s="156">
        <f t="shared" si="3"/>
        <v>0</v>
      </c>
      <c r="H22" s="156">
        <f t="shared" si="3"/>
        <v>-17759</v>
      </c>
      <c r="I22" s="156">
        <f t="shared" si="3"/>
        <v>3854</v>
      </c>
      <c r="J22" s="156">
        <f t="shared" si="3"/>
        <v>228</v>
      </c>
      <c r="K22" s="156">
        <f t="shared" si="3"/>
        <v>13221</v>
      </c>
      <c r="L22" s="156">
        <f t="shared" si="3"/>
        <v>0</v>
      </c>
      <c r="M22" s="156">
        <f t="shared" si="3"/>
        <v>136297</v>
      </c>
      <c r="N22" s="319">
        <f t="shared" si="0"/>
        <v>323161</v>
      </c>
    </row>
    <row r="23" spans="1:15" ht="15.75" customHeight="1">
      <c r="A23" s="149">
        <v>2</v>
      </c>
      <c r="B23" s="149">
        <v>18</v>
      </c>
      <c r="C23" s="150" t="s">
        <v>526</v>
      </c>
      <c r="D23" s="151">
        <v>62160</v>
      </c>
      <c r="E23" s="151"/>
      <c r="F23" s="151">
        <v>49683</v>
      </c>
      <c r="G23" s="151"/>
      <c r="H23" s="151">
        <v>59876</v>
      </c>
      <c r="I23" s="151">
        <v>590</v>
      </c>
      <c r="J23" s="151"/>
      <c r="K23" s="151"/>
      <c r="L23" s="151"/>
      <c r="M23" s="151">
        <v>41139</v>
      </c>
      <c r="N23" s="346">
        <f t="shared" si="0"/>
        <v>213448</v>
      </c>
      <c r="O23" s="97"/>
    </row>
    <row r="24" spans="1:14" ht="15.75" customHeight="1">
      <c r="A24" s="149"/>
      <c r="B24" s="634" t="s">
        <v>1109</v>
      </c>
      <c r="C24" s="764" t="s">
        <v>534</v>
      </c>
      <c r="D24" s="765">
        <v>10000</v>
      </c>
      <c r="E24" s="765"/>
      <c r="F24" s="765">
        <v>9820</v>
      </c>
      <c r="G24" s="765"/>
      <c r="H24" s="765">
        <v>7288</v>
      </c>
      <c r="I24" s="765">
        <v>200</v>
      </c>
      <c r="J24" s="765"/>
      <c r="K24" s="765"/>
      <c r="L24" s="765"/>
      <c r="M24" s="765">
        <v>-14000</v>
      </c>
      <c r="N24" s="766">
        <f t="shared" si="0"/>
        <v>13308</v>
      </c>
    </row>
    <row r="25" spans="1:14" ht="15.75" customHeight="1">
      <c r="A25" s="149"/>
      <c r="B25" s="634" t="s">
        <v>1110</v>
      </c>
      <c r="C25" s="764" t="s">
        <v>535</v>
      </c>
      <c r="D25" s="765">
        <v>160</v>
      </c>
      <c r="E25" s="765"/>
      <c r="F25" s="765">
        <v>5397</v>
      </c>
      <c r="G25" s="765"/>
      <c r="H25" s="765">
        <v>5041</v>
      </c>
      <c r="I25" s="765">
        <v>390</v>
      </c>
      <c r="J25" s="765"/>
      <c r="K25" s="765"/>
      <c r="L25" s="765"/>
      <c r="M25" s="765">
        <v>-2743</v>
      </c>
      <c r="N25" s="767">
        <f>SUM(D25:M25)</f>
        <v>8245</v>
      </c>
    </row>
    <row r="26" spans="1:14" ht="15.75" customHeight="1">
      <c r="A26" s="149"/>
      <c r="B26" s="634" t="s">
        <v>1111</v>
      </c>
      <c r="C26" s="764" t="s">
        <v>536</v>
      </c>
      <c r="D26" s="765"/>
      <c r="E26" s="765"/>
      <c r="F26" s="765">
        <v>29597</v>
      </c>
      <c r="G26" s="765"/>
      <c r="H26" s="765">
        <v>47547</v>
      </c>
      <c r="I26" s="765"/>
      <c r="J26" s="765"/>
      <c r="K26" s="765"/>
      <c r="L26" s="765"/>
      <c r="M26" s="765"/>
      <c r="N26" s="767">
        <f>SUM(D26:M26)</f>
        <v>77144</v>
      </c>
    </row>
    <row r="27" spans="1:14" ht="15.75" customHeight="1">
      <c r="A27" s="149"/>
      <c r="B27" s="634" t="s">
        <v>1112</v>
      </c>
      <c r="C27" s="764" t="s">
        <v>675</v>
      </c>
      <c r="D27" s="765">
        <v>52000</v>
      </c>
      <c r="E27" s="765"/>
      <c r="F27" s="765">
        <v>4869</v>
      </c>
      <c r="G27" s="765"/>
      <c r="H27" s="765"/>
      <c r="I27" s="765"/>
      <c r="J27" s="765"/>
      <c r="K27" s="765"/>
      <c r="L27" s="765"/>
      <c r="M27" s="765">
        <v>57882</v>
      </c>
      <c r="N27" s="767">
        <f>SUM(D27:M27)</f>
        <v>114751</v>
      </c>
    </row>
    <row r="28" spans="1:14" ht="15.75" customHeight="1">
      <c r="A28" s="149">
        <v>2</v>
      </c>
      <c r="B28" s="635">
        <v>19</v>
      </c>
      <c r="C28" s="150" t="s">
        <v>537</v>
      </c>
      <c r="D28" s="151"/>
      <c r="E28" s="151"/>
      <c r="F28" s="151">
        <v>11890</v>
      </c>
      <c r="G28" s="151"/>
      <c r="H28" s="151">
        <v>480</v>
      </c>
      <c r="I28" s="151"/>
      <c r="J28" s="151"/>
      <c r="K28" s="151"/>
      <c r="L28" s="151"/>
      <c r="M28" s="151">
        <v>34296</v>
      </c>
      <c r="N28" s="152">
        <f>SUM(D28:M28)</f>
        <v>46666</v>
      </c>
    </row>
    <row r="29" spans="1:14" ht="15.75" customHeight="1">
      <c r="A29" s="149">
        <v>2</v>
      </c>
      <c r="B29" s="635">
        <v>20</v>
      </c>
      <c r="C29" s="150" t="s">
        <v>538</v>
      </c>
      <c r="D29" s="151"/>
      <c r="E29" s="151"/>
      <c r="F29" s="324">
        <v>23020</v>
      </c>
      <c r="G29" s="151"/>
      <c r="H29" s="151">
        <v>11497</v>
      </c>
      <c r="I29" s="151"/>
      <c r="J29" s="151"/>
      <c r="K29" s="151"/>
      <c r="L29" s="151"/>
      <c r="M29" s="151">
        <v>4942</v>
      </c>
      <c r="N29" s="152">
        <f aca="true" t="shared" si="4" ref="N29:N34">SUM(D29:M29)</f>
        <v>39459</v>
      </c>
    </row>
    <row r="30" spans="1:14" ht="15.75" customHeight="1">
      <c r="A30" s="149"/>
      <c r="B30" s="634" t="s">
        <v>994</v>
      </c>
      <c r="C30" s="768" t="s">
        <v>680</v>
      </c>
      <c r="D30" s="765"/>
      <c r="E30" s="765"/>
      <c r="F30" s="765">
        <v>7103</v>
      </c>
      <c r="G30" s="765"/>
      <c r="H30" s="765">
        <v>2038</v>
      </c>
      <c r="I30" s="765"/>
      <c r="J30" s="765"/>
      <c r="K30" s="765"/>
      <c r="L30" s="765"/>
      <c r="M30" s="765"/>
      <c r="N30" s="767">
        <f t="shared" si="4"/>
        <v>9141</v>
      </c>
    </row>
    <row r="31" spans="1:14" ht="15.75" customHeight="1">
      <c r="A31" s="149"/>
      <c r="B31" s="634" t="s">
        <v>995</v>
      </c>
      <c r="C31" s="768" t="s">
        <v>681</v>
      </c>
      <c r="D31" s="765"/>
      <c r="E31" s="765"/>
      <c r="F31" s="765">
        <v>6044</v>
      </c>
      <c r="G31" s="765"/>
      <c r="H31" s="765">
        <v>3741</v>
      </c>
      <c r="I31" s="765"/>
      <c r="J31" s="765"/>
      <c r="K31" s="765"/>
      <c r="L31" s="765"/>
      <c r="M31" s="765">
        <v>-35</v>
      </c>
      <c r="N31" s="767">
        <f t="shared" si="4"/>
        <v>9750</v>
      </c>
    </row>
    <row r="32" spans="1:14" ht="15.75" customHeight="1">
      <c r="A32" s="149"/>
      <c r="B32" s="634" t="s">
        <v>996</v>
      </c>
      <c r="C32" s="768" t="s">
        <v>682</v>
      </c>
      <c r="D32" s="765"/>
      <c r="E32" s="765"/>
      <c r="F32" s="765">
        <v>4923</v>
      </c>
      <c r="G32" s="765"/>
      <c r="H32" s="765">
        <v>1976</v>
      </c>
      <c r="I32" s="765"/>
      <c r="J32" s="765"/>
      <c r="K32" s="765"/>
      <c r="L32" s="765"/>
      <c r="M32" s="765"/>
      <c r="N32" s="767">
        <f t="shared" si="4"/>
        <v>6899</v>
      </c>
    </row>
    <row r="33" spans="1:14" ht="15.75" customHeight="1">
      <c r="A33" s="149"/>
      <c r="B33" s="634" t="s">
        <v>1113</v>
      </c>
      <c r="C33" s="768" t="s">
        <v>683</v>
      </c>
      <c r="D33" s="765"/>
      <c r="E33" s="765"/>
      <c r="F33" s="765">
        <v>5770</v>
      </c>
      <c r="G33" s="765"/>
      <c r="H33" s="765">
        <v>3742</v>
      </c>
      <c r="I33" s="765"/>
      <c r="J33" s="765"/>
      <c r="K33" s="765"/>
      <c r="L33" s="765"/>
      <c r="M33" s="765"/>
      <c r="N33" s="767">
        <f t="shared" si="4"/>
        <v>9512</v>
      </c>
    </row>
    <row r="34" spans="1:14" ht="15.75" customHeight="1">
      <c r="A34" s="149"/>
      <c r="B34" s="634" t="s">
        <v>1114</v>
      </c>
      <c r="C34" s="764" t="s">
        <v>88</v>
      </c>
      <c r="D34" s="765"/>
      <c r="E34" s="765"/>
      <c r="F34" s="765">
        <v>-820</v>
      </c>
      <c r="G34" s="765"/>
      <c r="H34" s="765"/>
      <c r="I34" s="765"/>
      <c r="J34" s="765"/>
      <c r="K34" s="765"/>
      <c r="L34" s="765"/>
      <c r="M34" s="765">
        <v>4977</v>
      </c>
      <c r="N34" s="767">
        <f t="shared" si="4"/>
        <v>4157</v>
      </c>
    </row>
    <row r="35" spans="1:14" ht="15.75" customHeight="1">
      <c r="A35" s="149">
        <v>2</v>
      </c>
      <c r="B35" s="635">
        <v>21</v>
      </c>
      <c r="C35" s="21" t="s">
        <v>113</v>
      </c>
      <c r="D35" s="151">
        <v>441</v>
      </c>
      <c r="E35" s="151"/>
      <c r="F35" s="151">
        <v>5513</v>
      </c>
      <c r="G35" s="151"/>
      <c r="H35" s="151">
        <v>27291</v>
      </c>
      <c r="I35" s="151">
        <v>3750</v>
      </c>
      <c r="J35" s="151"/>
      <c r="K35" s="151"/>
      <c r="L35" s="151"/>
      <c r="M35" s="151">
        <v>7126</v>
      </c>
      <c r="N35" s="152">
        <f>SUM(D35:M35)</f>
        <v>44121</v>
      </c>
    </row>
    <row r="36" spans="1:14" ht="15.75" customHeight="1">
      <c r="A36" s="149"/>
      <c r="B36" s="634" t="s">
        <v>1115</v>
      </c>
      <c r="C36" s="764" t="s">
        <v>539</v>
      </c>
      <c r="D36" s="765"/>
      <c r="E36" s="765"/>
      <c r="F36" s="765">
        <v>1373</v>
      </c>
      <c r="G36" s="765"/>
      <c r="H36" s="765">
        <v>16759</v>
      </c>
      <c r="I36" s="765">
        <v>1512</v>
      </c>
      <c r="J36" s="765"/>
      <c r="K36" s="765"/>
      <c r="L36" s="765"/>
      <c r="M36" s="765">
        <v>-7945</v>
      </c>
      <c r="N36" s="767">
        <f aca="true" t="shared" si="5" ref="N36:N44">SUM(D36:M36)</f>
        <v>11699</v>
      </c>
    </row>
    <row r="37" spans="1:14" ht="15.75" customHeight="1">
      <c r="A37" s="149"/>
      <c r="B37" s="634" t="s">
        <v>1116</v>
      </c>
      <c r="C37" s="764" t="s">
        <v>114</v>
      </c>
      <c r="D37" s="765">
        <v>441</v>
      </c>
      <c r="E37" s="765"/>
      <c r="F37" s="765">
        <v>3757</v>
      </c>
      <c r="G37" s="765"/>
      <c r="H37" s="765">
        <v>4286</v>
      </c>
      <c r="I37" s="765">
        <v>2238</v>
      </c>
      <c r="J37" s="765"/>
      <c r="K37" s="765"/>
      <c r="L37" s="765"/>
      <c r="M37" s="765">
        <v>15571</v>
      </c>
      <c r="N37" s="767">
        <f t="shared" si="5"/>
        <v>26293</v>
      </c>
    </row>
    <row r="38" spans="1:14" ht="15.75" customHeight="1">
      <c r="A38" s="149"/>
      <c r="B38" s="634" t="s">
        <v>1117</v>
      </c>
      <c r="C38" s="764" t="s">
        <v>103</v>
      </c>
      <c r="D38" s="765"/>
      <c r="E38" s="765"/>
      <c r="F38" s="765">
        <v>383</v>
      </c>
      <c r="G38" s="765"/>
      <c r="H38" s="765">
        <v>6246</v>
      </c>
      <c r="I38" s="765"/>
      <c r="J38" s="765"/>
      <c r="K38" s="765"/>
      <c r="L38" s="765"/>
      <c r="M38" s="765">
        <v>-500</v>
      </c>
      <c r="N38" s="767">
        <f t="shared" si="5"/>
        <v>6129</v>
      </c>
    </row>
    <row r="39" spans="1:14" ht="15.75" customHeight="1">
      <c r="A39" s="149">
        <v>2</v>
      </c>
      <c r="B39" s="635">
        <v>22</v>
      </c>
      <c r="C39" s="150" t="s">
        <v>540</v>
      </c>
      <c r="D39" s="151"/>
      <c r="E39" s="151"/>
      <c r="F39" s="151">
        <v>365</v>
      </c>
      <c r="G39" s="151"/>
      <c r="H39" s="151">
        <v>110</v>
      </c>
      <c r="I39" s="151"/>
      <c r="J39" s="151"/>
      <c r="K39" s="151"/>
      <c r="L39" s="151"/>
      <c r="M39" s="151">
        <v>905</v>
      </c>
      <c r="N39" s="152">
        <f t="shared" si="5"/>
        <v>1380</v>
      </c>
    </row>
    <row r="40" spans="1:14" ht="15.75" customHeight="1">
      <c r="A40" s="149">
        <v>2</v>
      </c>
      <c r="B40" s="635">
        <v>23</v>
      </c>
      <c r="C40" s="150" t="s">
        <v>629</v>
      </c>
      <c r="D40" s="151"/>
      <c r="E40" s="151"/>
      <c r="F40" s="151">
        <v>1302</v>
      </c>
      <c r="G40" s="151"/>
      <c r="H40" s="151"/>
      <c r="I40" s="151"/>
      <c r="J40" s="151"/>
      <c r="K40" s="151"/>
      <c r="L40" s="151"/>
      <c r="M40" s="151">
        <v>248</v>
      </c>
      <c r="N40" s="152">
        <f t="shared" si="5"/>
        <v>1550</v>
      </c>
    </row>
    <row r="41" spans="1:14" ht="15.75" customHeight="1">
      <c r="A41" s="149">
        <v>2</v>
      </c>
      <c r="B41" s="635">
        <v>24</v>
      </c>
      <c r="C41" s="150" t="s">
        <v>542</v>
      </c>
      <c r="D41" s="151"/>
      <c r="E41" s="151"/>
      <c r="F41" s="151">
        <v>371</v>
      </c>
      <c r="G41" s="151"/>
      <c r="H41" s="151"/>
      <c r="I41" s="151"/>
      <c r="J41" s="151"/>
      <c r="K41" s="151"/>
      <c r="L41" s="151"/>
      <c r="M41" s="151">
        <v>4868</v>
      </c>
      <c r="N41" s="152">
        <f t="shared" si="5"/>
        <v>5239</v>
      </c>
    </row>
    <row r="42" spans="1:14" ht="15.75" customHeight="1">
      <c r="A42" s="149">
        <v>2</v>
      </c>
      <c r="B42" s="635">
        <v>25</v>
      </c>
      <c r="C42" s="150" t="s">
        <v>946</v>
      </c>
      <c r="D42" s="151"/>
      <c r="E42" s="151"/>
      <c r="F42" s="151">
        <v>5718</v>
      </c>
      <c r="G42" s="151"/>
      <c r="H42" s="151">
        <v>6499</v>
      </c>
      <c r="I42" s="151"/>
      <c r="J42" s="151"/>
      <c r="K42" s="151"/>
      <c r="L42" s="151"/>
      <c r="M42" s="151">
        <v>6300</v>
      </c>
      <c r="N42" s="152">
        <f t="shared" si="5"/>
        <v>18517</v>
      </c>
    </row>
    <row r="43" spans="1:14" ht="15.75" customHeight="1">
      <c r="A43" s="149"/>
      <c r="B43" s="634" t="s">
        <v>997</v>
      </c>
      <c r="C43" s="764" t="s">
        <v>116</v>
      </c>
      <c r="D43" s="765"/>
      <c r="E43" s="765"/>
      <c r="F43" s="765">
        <v>4777</v>
      </c>
      <c r="G43" s="765"/>
      <c r="H43" s="765"/>
      <c r="I43" s="765"/>
      <c r="J43" s="765"/>
      <c r="K43" s="765"/>
      <c r="L43" s="765"/>
      <c r="M43" s="765">
        <v>11313</v>
      </c>
      <c r="N43" s="767">
        <f t="shared" si="5"/>
        <v>16090</v>
      </c>
    </row>
    <row r="44" spans="1:14" ht="15.75" customHeight="1" thickBot="1">
      <c r="A44" s="562"/>
      <c r="B44" s="634" t="s">
        <v>998</v>
      </c>
      <c r="C44" s="764" t="s">
        <v>115</v>
      </c>
      <c r="D44" s="765"/>
      <c r="E44" s="765"/>
      <c r="F44" s="765">
        <v>941</v>
      </c>
      <c r="G44" s="765"/>
      <c r="H44" s="765">
        <v>6499</v>
      </c>
      <c r="I44" s="765"/>
      <c r="J44" s="765"/>
      <c r="K44" s="765"/>
      <c r="L44" s="765"/>
      <c r="M44" s="765">
        <v>-5013</v>
      </c>
      <c r="N44" s="767">
        <f t="shared" si="5"/>
        <v>2427</v>
      </c>
    </row>
    <row r="45" spans="1:14" ht="15.75" customHeight="1" thickBot="1">
      <c r="A45" s="160"/>
      <c r="B45" s="158"/>
      <c r="C45" s="155" t="s">
        <v>613</v>
      </c>
      <c r="D45" s="156">
        <f aca="true" t="shared" si="6" ref="D45:N45">SUM(D23+D28+D29+D35+D39+D40+D41+D42)</f>
        <v>62601</v>
      </c>
      <c r="E45" s="156">
        <f t="shared" si="6"/>
        <v>0</v>
      </c>
      <c r="F45" s="156">
        <f t="shared" si="6"/>
        <v>97862</v>
      </c>
      <c r="G45" s="156">
        <f t="shared" si="6"/>
        <v>0</v>
      </c>
      <c r="H45" s="156">
        <f t="shared" si="6"/>
        <v>105753</v>
      </c>
      <c r="I45" s="156">
        <f t="shared" si="6"/>
        <v>4340</v>
      </c>
      <c r="J45" s="156">
        <f t="shared" si="6"/>
        <v>0</v>
      </c>
      <c r="K45" s="156">
        <f t="shared" si="6"/>
        <v>0</v>
      </c>
      <c r="L45" s="156">
        <f t="shared" si="6"/>
        <v>0</v>
      </c>
      <c r="M45" s="156">
        <f t="shared" si="6"/>
        <v>99824</v>
      </c>
      <c r="N45" s="156">
        <f t="shared" si="6"/>
        <v>370380</v>
      </c>
    </row>
    <row r="46" spans="1:14" ht="15.75" customHeight="1" thickBot="1">
      <c r="A46" s="785"/>
      <c r="B46" s="161"/>
      <c r="C46" s="162" t="s">
        <v>614</v>
      </c>
      <c r="D46" s="163">
        <f aca="true" t="shared" si="7" ref="D46:N46">SUM(D3+D22+D45)</f>
        <v>62077</v>
      </c>
      <c r="E46" s="163">
        <f t="shared" si="7"/>
        <v>9176</v>
      </c>
      <c r="F46" s="163">
        <f t="shared" si="7"/>
        <v>198716</v>
      </c>
      <c r="G46" s="163">
        <f t="shared" si="7"/>
        <v>0</v>
      </c>
      <c r="H46" s="163">
        <f t="shared" si="7"/>
        <v>87994</v>
      </c>
      <c r="I46" s="163">
        <f t="shared" si="7"/>
        <v>8194</v>
      </c>
      <c r="J46" s="163">
        <f t="shared" si="7"/>
        <v>228</v>
      </c>
      <c r="K46" s="163">
        <f t="shared" si="7"/>
        <v>13221</v>
      </c>
      <c r="L46" s="163">
        <f t="shared" si="7"/>
        <v>0</v>
      </c>
      <c r="M46" s="163">
        <f t="shared" si="7"/>
        <v>236121</v>
      </c>
      <c r="N46" s="163">
        <f t="shared" si="7"/>
        <v>615727</v>
      </c>
    </row>
    <row r="47" spans="1:14" ht="12.75">
      <c r="A47" s="164"/>
      <c r="B47" s="164"/>
      <c r="C47" s="165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</row>
    <row r="48" spans="1:14" ht="12.75">
      <c r="A48" s="164"/>
      <c r="B48" s="164"/>
      <c r="C48" s="165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</row>
    <row r="49" spans="1:14" ht="12.75">
      <c r="A49" s="164"/>
      <c r="B49" s="164"/>
      <c r="C49" s="165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</row>
    <row r="50" spans="1:14" ht="12.75">
      <c r="A50" s="164"/>
      <c r="B50" s="164"/>
      <c r="C50" s="165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</row>
    <row r="51" spans="1:14" ht="12.75">
      <c r="A51" s="164"/>
      <c r="B51" s="164"/>
      <c r="C51" s="165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</row>
    <row r="52" spans="1:14" ht="12.75">
      <c r="A52" s="164"/>
      <c r="B52" s="164"/>
      <c r="C52" s="165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</row>
    <row r="53" spans="1:14" ht="12.75">
      <c r="A53" s="164"/>
      <c r="B53" s="164"/>
      <c r="C53" s="165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</row>
    <row r="54" spans="1:14" ht="12.75">
      <c r="A54" s="164"/>
      <c r="B54" s="164"/>
      <c r="C54" s="165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</row>
    <row r="55" spans="1:14" ht="12.75">
      <c r="A55" s="164"/>
      <c r="B55" s="164"/>
      <c r="C55" s="165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</row>
    <row r="56" spans="1:14" ht="12.7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</row>
    <row r="57" spans="1:14" ht="12.75">
      <c r="A57" s="164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</row>
    <row r="58" spans="1:14" ht="12.7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</row>
    <row r="59" spans="1:14" ht="12.7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</row>
    <row r="60" spans="1:14" ht="12.7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</row>
    <row r="61" spans="1:14" ht="12.7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</row>
    <row r="62" spans="1:14" ht="12.75">
      <c r="A62" s="164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</row>
    <row r="63" spans="1:14" ht="12.7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</row>
    <row r="64" spans="1:14" ht="12.75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</row>
    <row r="65" spans="1:14" ht="12.75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</row>
    <row r="66" spans="1:14" ht="12.7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</row>
    <row r="67" spans="1:14" ht="12.7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</row>
    <row r="68" spans="1:14" ht="12.75">
      <c r="A68" s="164"/>
      <c r="B68" s="164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</row>
    <row r="69" spans="1:14" ht="12.75">
      <c r="A69" s="164"/>
      <c r="B69" s="164"/>
      <c r="C69" s="164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</row>
    <row r="70" spans="1:14" ht="12.75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</row>
    <row r="71" spans="1:14" ht="12.75">
      <c r="A71" s="164"/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</row>
    <row r="72" spans="1:14" ht="12.75">
      <c r="A72" s="164"/>
      <c r="B72" s="164"/>
      <c r="C72" s="164"/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</row>
    <row r="73" spans="1:14" ht="12.75">
      <c r="A73" s="164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</row>
    <row r="74" spans="1:14" ht="12.75">
      <c r="A74" s="164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</row>
    <row r="75" spans="1:14" ht="12.75">
      <c r="A75" s="164"/>
      <c r="B75" s="164"/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</row>
    <row r="76" spans="1:14" ht="12.75">
      <c r="A76" s="164"/>
      <c r="B76" s="164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</row>
    <row r="77" spans="1:14" ht="12.75">
      <c r="A77" s="164"/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</row>
    <row r="78" spans="2:14" ht="12.75"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</row>
  </sheetData>
  <mergeCells count="2">
    <mergeCell ref="D1:E1"/>
    <mergeCell ref="J1:K1"/>
  </mergeCells>
  <printOptions gridLines="1" horizontalCentered="1" verticalCentered="1"/>
  <pageMargins left="0.2362204724409449" right="0.31496062992125984" top="1.1811023622047245" bottom="0.3937007874015748" header="0.4330708661417323" footer="0.31496062992125984"/>
  <pageSetup horizontalDpi="300" verticalDpi="300" orientation="landscape" paperSize="9" r:id="rId1"/>
  <headerFooter alignWithMargins="0">
    <oddHeader>&amp;C&amp;"Arial CE,Normál"ZALAEGERSZEG MEGYEI JOGÚ VÁROS ÖNKORMÁNYZATA 
ÁLTAL IRÁNYÍTOTT KÖLTSÉGVETÉSI SZERVEK 
2012. ÉVI BEVÉTELI ELŐIRÁNYZATAINAK MÓDOSÍTÁSA AZ  II. NEGYEDÉVBEN&amp;R&amp;"Arial CE,Normál"1. számú  tájékoztató tábla
Adatok:eFt-ban</oddHeader>
    <oddFooter>&amp;C 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O132"/>
  <sheetViews>
    <sheetView workbookViewId="0" topLeftCell="A1">
      <pane ySplit="1" topLeftCell="BM23" activePane="bottomLeft" state="frozen"/>
      <selection pane="topLeft" activeCell="A1" sqref="A1"/>
      <selection pane="bottomLeft" activeCell="D45" sqref="D45"/>
    </sheetView>
  </sheetViews>
  <sheetFormatPr defaultColWidth="9.00390625" defaultRowHeight="12.75"/>
  <cols>
    <col min="1" max="1" width="6.50390625" style="103" customWidth="1"/>
    <col min="2" max="2" width="6.875" style="103" customWidth="1"/>
    <col min="3" max="3" width="42.50390625" style="95" customWidth="1"/>
    <col min="4" max="4" width="11.125" style="95" customWidth="1"/>
    <col min="5" max="5" width="11.625" style="95" customWidth="1"/>
    <col min="6" max="6" width="11.125" style="95" customWidth="1"/>
    <col min="7" max="8" width="12.875" style="95" customWidth="1"/>
    <col min="9" max="10" width="10.625" style="95" customWidth="1"/>
    <col min="11" max="11" width="9.50390625" style="95" customWidth="1"/>
    <col min="12" max="12" width="11.00390625" style="95" customWidth="1"/>
    <col min="13" max="16384" width="9.375" style="95" customWidth="1"/>
  </cols>
  <sheetData>
    <row r="1" spans="1:15" ht="46.5" customHeight="1" thickBot="1">
      <c r="A1" s="305" t="s">
        <v>517</v>
      </c>
      <c r="B1" s="306" t="s">
        <v>518</v>
      </c>
      <c r="C1" s="546" t="s">
        <v>612</v>
      </c>
      <c r="D1" s="560" t="s">
        <v>205</v>
      </c>
      <c r="E1" s="560" t="s">
        <v>519</v>
      </c>
      <c r="F1" s="560" t="s">
        <v>520</v>
      </c>
      <c r="G1" s="560" t="s">
        <v>91</v>
      </c>
      <c r="H1" s="560" t="s">
        <v>92</v>
      </c>
      <c r="I1" s="560" t="s">
        <v>521</v>
      </c>
      <c r="J1" s="560" t="s">
        <v>448</v>
      </c>
      <c r="K1" s="560" t="s">
        <v>522</v>
      </c>
      <c r="L1" s="561" t="s">
        <v>523</v>
      </c>
      <c r="M1" s="94"/>
      <c r="N1" s="94"/>
      <c r="O1" s="94"/>
    </row>
    <row r="2" spans="1:15" ht="18" customHeight="1">
      <c r="A2" s="763">
        <v>2</v>
      </c>
      <c r="B2" s="763">
        <v>1</v>
      </c>
      <c r="C2" s="572" t="s">
        <v>194</v>
      </c>
      <c r="D2" s="694">
        <v>-45224</v>
      </c>
      <c r="E2" s="694">
        <v>-9428</v>
      </c>
      <c r="F2" s="694">
        <v>8301</v>
      </c>
      <c r="G2" s="694"/>
      <c r="H2" s="694"/>
      <c r="I2" s="694"/>
      <c r="J2" s="694"/>
      <c r="K2" s="694">
        <v>-31463</v>
      </c>
      <c r="L2" s="152">
        <f>SUM(D2:K2)</f>
        <v>-77814</v>
      </c>
      <c r="M2" s="94"/>
      <c r="N2" s="94"/>
      <c r="O2" s="94"/>
    </row>
    <row r="3" spans="1:12" s="96" customFormat="1" ht="24" customHeight="1">
      <c r="A3" s="149">
        <v>2</v>
      </c>
      <c r="B3" s="149">
        <v>1</v>
      </c>
      <c r="C3" s="471" t="s">
        <v>669</v>
      </c>
      <c r="D3" s="151">
        <v>18427</v>
      </c>
      <c r="E3" s="151">
        <v>2516</v>
      </c>
      <c r="F3" s="151">
        <v>3993</v>
      </c>
      <c r="G3" s="151">
        <v>383</v>
      </c>
      <c r="H3" s="151"/>
      <c r="I3" s="151">
        <v>642</v>
      </c>
      <c r="J3" s="151">
        <v>800</v>
      </c>
      <c r="K3" s="151">
        <v>1595</v>
      </c>
      <c r="L3" s="152">
        <f>SUM(D3:K3)</f>
        <v>28356</v>
      </c>
    </row>
    <row r="4" spans="1:12" s="96" customFormat="1" ht="15.75" customHeight="1">
      <c r="A4" s="149">
        <v>2</v>
      </c>
      <c r="B4" s="149">
        <v>2</v>
      </c>
      <c r="C4" s="150" t="s">
        <v>524</v>
      </c>
      <c r="D4" s="151">
        <v>8108</v>
      </c>
      <c r="E4" s="151">
        <v>2110</v>
      </c>
      <c r="F4" s="151">
        <v>4367</v>
      </c>
      <c r="G4" s="151">
        <v>318</v>
      </c>
      <c r="H4" s="151"/>
      <c r="I4" s="151">
        <v>2677</v>
      </c>
      <c r="J4" s="151"/>
      <c r="K4" s="151">
        <v>228</v>
      </c>
      <c r="L4" s="152">
        <f aca="true" t="shared" si="0" ref="L4:L10">SUM(D4:K4)</f>
        <v>17808</v>
      </c>
    </row>
    <row r="5" spans="1:12" s="96" customFormat="1" ht="24.75" customHeight="1">
      <c r="A5" s="149">
        <v>2</v>
      </c>
      <c r="B5" s="149">
        <v>3</v>
      </c>
      <c r="C5" s="157" t="s">
        <v>948</v>
      </c>
      <c r="D5" s="151">
        <v>16120</v>
      </c>
      <c r="E5" s="151">
        <v>3368</v>
      </c>
      <c r="F5" s="151">
        <v>5198</v>
      </c>
      <c r="G5" s="151">
        <v>1164</v>
      </c>
      <c r="H5" s="151"/>
      <c r="I5" s="151">
        <v>2829</v>
      </c>
      <c r="J5" s="151">
        <v>15265</v>
      </c>
      <c r="K5" s="151">
        <v>-1387</v>
      </c>
      <c r="L5" s="152">
        <f t="shared" si="0"/>
        <v>42557</v>
      </c>
    </row>
    <row r="6" spans="1:12" s="96" customFormat="1" ht="15.75" customHeight="1">
      <c r="A6" s="149">
        <v>2</v>
      </c>
      <c r="B6" s="149">
        <v>4</v>
      </c>
      <c r="C6" s="150" t="s">
        <v>527</v>
      </c>
      <c r="D6" s="151">
        <v>3436</v>
      </c>
      <c r="E6" s="151">
        <v>892</v>
      </c>
      <c r="F6" s="151">
        <v>1740</v>
      </c>
      <c r="G6" s="151">
        <v>90</v>
      </c>
      <c r="H6" s="151"/>
      <c r="I6" s="151">
        <v>179</v>
      </c>
      <c r="J6" s="151"/>
      <c r="K6" s="151"/>
      <c r="L6" s="152">
        <f t="shared" si="0"/>
        <v>6337</v>
      </c>
    </row>
    <row r="7" spans="1:12" s="96" customFormat="1" ht="15.75" customHeight="1">
      <c r="A7" s="149">
        <v>2</v>
      </c>
      <c r="B7" s="149">
        <v>5</v>
      </c>
      <c r="C7" s="150" t="s">
        <v>180</v>
      </c>
      <c r="D7" s="151">
        <v>279</v>
      </c>
      <c r="E7" s="151">
        <v>-34</v>
      </c>
      <c r="F7" s="151">
        <v>2249</v>
      </c>
      <c r="G7" s="151">
        <v>392</v>
      </c>
      <c r="H7" s="151"/>
      <c r="I7" s="151">
        <v>52</v>
      </c>
      <c r="J7" s="151"/>
      <c r="K7" s="151"/>
      <c r="L7" s="152">
        <f t="shared" si="0"/>
        <v>2938</v>
      </c>
    </row>
    <row r="8" spans="1:12" ht="15.75" customHeight="1">
      <c r="A8" s="259">
        <v>2</v>
      </c>
      <c r="B8" s="259">
        <v>6</v>
      </c>
      <c r="C8" s="470" t="s">
        <v>630</v>
      </c>
      <c r="D8" s="345">
        <v>4163</v>
      </c>
      <c r="E8" s="345">
        <v>987</v>
      </c>
      <c r="F8" s="345">
        <v>2864</v>
      </c>
      <c r="G8" s="260">
        <v>216</v>
      </c>
      <c r="H8" s="260"/>
      <c r="I8" s="260">
        <v>1100</v>
      </c>
      <c r="J8" s="260"/>
      <c r="K8" s="260">
        <v>920</v>
      </c>
      <c r="L8" s="152">
        <f t="shared" si="0"/>
        <v>10250</v>
      </c>
    </row>
    <row r="9" spans="1:12" s="96" customFormat="1" ht="15.75" customHeight="1">
      <c r="A9" s="149">
        <v>2</v>
      </c>
      <c r="B9" s="149">
        <v>7</v>
      </c>
      <c r="C9" s="150" t="s">
        <v>528</v>
      </c>
      <c r="D9" s="151">
        <v>5728</v>
      </c>
      <c r="E9" s="151">
        <v>1476</v>
      </c>
      <c r="F9" s="151">
        <v>2094</v>
      </c>
      <c r="G9" s="151">
        <v>73</v>
      </c>
      <c r="H9" s="151"/>
      <c r="I9" s="151">
        <v>612</v>
      </c>
      <c r="J9" s="153"/>
      <c r="K9" s="151"/>
      <c r="L9" s="152">
        <f t="shared" si="0"/>
        <v>9983</v>
      </c>
    </row>
    <row r="10" spans="1:12" s="96" customFormat="1" ht="15.75" customHeight="1">
      <c r="A10" s="149">
        <v>2</v>
      </c>
      <c r="B10" s="149">
        <v>8</v>
      </c>
      <c r="C10" s="150" t="s">
        <v>525</v>
      </c>
      <c r="D10" s="151">
        <v>4504</v>
      </c>
      <c r="E10" s="151">
        <v>1148</v>
      </c>
      <c r="F10" s="151">
        <v>1382</v>
      </c>
      <c r="G10" s="151">
        <v>611</v>
      </c>
      <c r="H10" s="151"/>
      <c r="I10" s="151"/>
      <c r="J10" s="151">
        <v>577</v>
      </c>
      <c r="K10" s="151">
        <v>418</v>
      </c>
      <c r="L10" s="152">
        <f t="shared" si="0"/>
        <v>8640</v>
      </c>
    </row>
    <row r="11" spans="1:12" s="96" customFormat="1" ht="15.75" customHeight="1">
      <c r="A11" s="154"/>
      <c r="B11" s="154"/>
      <c r="C11" s="155" t="s">
        <v>529</v>
      </c>
      <c r="D11" s="156">
        <f aca="true" t="shared" si="1" ref="D11:L11">SUM(D3:D10)</f>
        <v>60765</v>
      </c>
      <c r="E11" s="156">
        <f t="shared" si="1"/>
        <v>12463</v>
      </c>
      <c r="F11" s="156">
        <f t="shared" si="1"/>
        <v>23887</v>
      </c>
      <c r="G11" s="156">
        <f t="shared" si="1"/>
        <v>3247</v>
      </c>
      <c r="H11" s="156">
        <f t="shared" si="1"/>
        <v>0</v>
      </c>
      <c r="I11" s="156">
        <f t="shared" si="1"/>
        <v>8091</v>
      </c>
      <c r="J11" s="156">
        <f t="shared" si="1"/>
        <v>16642</v>
      </c>
      <c r="K11" s="156">
        <f t="shared" si="1"/>
        <v>1774</v>
      </c>
      <c r="L11" s="156">
        <f t="shared" si="1"/>
        <v>126869</v>
      </c>
    </row>
    <row r="12" spans="1:12" s="96" customFormat="1" ht="15.75" customHeight="1">
      <c r="A12" s="149">
        <v>2</v>
      </c>
      <c r="B12" s="149">
        <v>9</v>
      </c>
      <c r="C12" s="150" t="s">
        <v>530</v>
      </c>
      <c r="D12" s="151">
        <v>15011</v>
      </c>
      <c r="E12" s="151">
        <v>3919</v>
      </c>
      <c r="F12" s="151">
        <v>11791</v>
      </c>
      <c r="G12" s="151">
        <v>181</v>
      </c>
      <c r="H12" s="151"/>
      <c r="I12" s="151">
        <v>1195</v>
      </c>
      <c r="J12" s="151"/>
      <c r="K12" s="151">
        <v>308</v>
      </c>
      <c r="L12" s="152">
        <f>SUM(D12:K12)</f>
        <v>32405</v>
      </c>
    </row>
    <row r="13" spans="1:12" s="96" customFormat="1" ht="15.75" customHeight="1">
      <c r="A13" s="149">
        <v>2</v>
      </c>
      <c r="B13" s="149">
        <v>10</v>
      </c>
      <c r="C13" s="150" t="s">
        <v>531</v>
      </c>
      <c r="D13" s="151">
        <v>9634</v>
      </c>
      <c r="E13" s="151">
        <v>2520</v>
      </c>
      <c r="F13" s="151">
        <v>1785</v>
      </c>
      <c r="G13" s="151">
        <v>97</v>
      </c>
      <c r="H13" s="151"/>
      <c r="I13" s="151"/>
      <c r="J13" s="151">
        <v>996</v>
      </c>
      <c r="K13" s="151">
        <v>804</v>
      </c>
      <c r="L13" s="152">
        <f aca="true" t="shared" si="2" ref="L13:L19">SUM(D13:K13)</f>
        <v>15836</v>
      </c>
    </row>
    <row r="14" spans="1:12" s="96" customFormat="1" ht="15.75" customHeight="1">
      <c r="A14" s="149">
        <v>2</v>
      </c>
      <c r="B14" s="149">
        <v>11</v>
      </c>
      <c r="C14" s="150" t="s">
        <v>95</v>
      </c>
      <c r="D14" s="151">
        <v>8403</v>
      </c>
      <c r="E14" s="151">
        <v>982</v>
      </c>
      <c r="F14" s="151">
        <v>4701</v>
      </c>
      <c r="G14" s="151">
        <v>20</v>
      </c>
      <c r="H14" s="151"/>
      <c r="I14" s="151"/>
      <c r="J14" s="151"/>
      <c r="K14" s="151">
        <v>225</v>
      </c>
      <c r="L14" s="152">
        <f t="shared" si="2"/>
        <v>14331</v>
      </c>
    </row>
    <row r="15" spans="1:12" s="96" customFormat="1" ht="15.75" customHeight="1">
      <c r="A15" s="149">
        <v>2</v>
      </c>
      <c r="B15" s="149">
        <v>12</v>
      </c>
      <c r="C15" s="150" t="s">
        <v>532</v>
      </c>
      <c r="D15" s="151">
        <v>5145</v>
      </c>
      <c r="E15" s="151">
        <v>1323</v>
      </c>
      <c r="F15" s="151">
        <v>4824</v>
      </c>
      <c r="G15" s="151">
        <v>189</v>
      </c>
      <c r="H15" s="151"/>
      <c r="I15" s="151">
        <v>130</v>
      </c>
      <c r="J15" s="151"/>
      <c r="K15" s="151">
        <v>12194</v>
      </c>
      <c r="L15" s="152">
        <f t="shared" si="2"/>
        <v>23805</v>
      </c>
    </row>
    <row r="16" spans="1:12" s="96" customFormat="1" ht="25.5">
      <c r="A16" s="149">
        <v>2</v>
      </c>
      <c r="B16" s="149">
        <v>13</v>
      </c>
      <c r="C16" s="157" t="s">
        <v>156</v>
      </c>
      <c r="D16" s="151">
        <v>24184</v>
      </c>
      <c r="E16" s="151">
        <v>6270</v>
      </c>
      <c r="F16" s="151">
        <v>9994</v>
      </c>
      <c r="G16" s="151">
        <v>552</v>
      </c>
      <c r="H16" s="151"/>
      <c r="I16" s="151">
        <v>1695</v>
      </c>
      <c r="J16" s="151"/>
      <c r="K16" s="151">
        <v>5584</v>
      </c>
      <c r="L16" s="152">
        <f t="shared" si="2"/>
        <v>48279</v>
      </c>
    </row>
    <row r="17" spans="1:12" s="96" customFormat="1" ht="24" customHeight="1">
      <c r="A17" s="149">
        <v>2</v>
      </c>
      <c r="B17" s="149">
        <v>14</v>
      </c>
      <c r="C17" s="470" t="s">
        <v>668</v>
      </c>
      <c r="D17" s="151">
        <v>10071</v>
      </c>
      <c r="E17" s="151">
        <v>2578</v>
      </c>
      <c r="F17" s="151">
        <v>1759</v>
      </c>
      <c r="G17" s="151">
        <v>223</v>
      </c>
      <c r="H17" s="151"/>
      <c r="I17" s="151">
        <v>2936</v>
      </c>
      <c r="J17" s="151"/>
      <c r="K17" s="151">
        <v>770</v>
      </c>
      <c r="L17" s="152">
        <f t="shared" si="2"/>
        <v>18337</v>
      </c>
    </row>
    <row r="18" spans="1:12" s="96" customFormat="1" ht="15.75" customHeight="1">
      <c r="A18" s="149">
        <v>2</v>
      </c>
      <c r="B18" s="149">
        <v>15</v>
      </c>
      <c r="C18" s="157" t="s">
        <v>254</v>
      </c>
      <c r="D18" s="151">
        <v>12981</v>
      </c>
      <c r="E18" s="151">
        <v>3387</v>
      </c>
      <c r="F18" s="151">
        <v>4697</v>
      </c>
      <c r="G18" s="151">
        <v>165</v>
      </c>
      <c r="H18" s="151"/>
      <c r="I18" s="151">
        <v>5106</v>
      </c>
      <c r="J18" s="151"/>
      <c r="K18" s="151">
        <v>554</v>
      </c>
      <c r="L18" s="152">
        <f t="shared" si="2"/>
        <v>26890</v>
      </c>
    </row>
    <row r="19" spans="1:12" s="96" customFormat="1" ht="15.75" customHeight="1">
      <c r="A19" s="149">
        <v>2</v>
      </c>
      <c r="B19" s="149">
        <v>16</v>
      </c>
      <c r="C19" s="150" t="s">
        <v>157</v>
      </c>
      <c r="D19" s="151">
        <v>4390</v>
      </c>
      <c r="E19" s="151">
        <v>1141</v>
      </c>
      <c r="F19" s="151">
        <v>6843</v>
      </c>
      <c r="G19" s="151">
        <v>186</v>
      </c>
      <c r="H19" s="151"/>
      <c r="I19" s="151"/>
      <c r="J19" s="151">
        <v>3729</v>
      </c>
      <c r="K19" s="151">
        <v>120</v>
      </c>
      <c r="L19" s="152">
        <f t="shared" si="2"/>
        <v>16409</v>
      </c>
    </row>
    <row r="20" spans="1:12" s="96" customFormat="1" ht="15.75" customHeight="1">
      <c r="A20" s="154"/>
      <c r="B20" s="154"/>
      <c r="C20" s="155" t="s">
        <v>102</v>
      </c>
      <c r="D20" s="156">
        <f aca="true" t="shared" si="3" ref="D20:L20">SUM(D12:D19)</f>
        <v>89819</v>
      </c>
      <c r="E20" s="156">
        <f t="shared" si="3"/>
        <v>22120</v>
      </c>
      <c r="F20" s="156">
        <f t="shared" si="3"/>
        <v>46394</v>
      </c>
      <c r="G20" s="156">
        <f t="shared" si="3"/>
        <v>1613</v>
      </c>
      <c r="H20" s="156">
        <f t="shared" si="3"/>
        <v>0</v>
      </c>
      <c r="I20" s="156">
        <f t="shared" si="3"/>
        <v>11062</v>
      </c>
      <c r="J20" s="156">
        <f t="shared" si="3"/>
        <v>4725</v>
      </c>
      <c r="K20" s="156">
        <f t="shared" si="3"/>
        <v>20559</v>
      </c>
      <c r="L20" s="156">
        <f t="shared" si="3"/>
        <v>196292</v>
      </c>
    </row>
    <row r="21" spans="1:12" s="98" customFormat="1" ht="15.75" customHeight="1">
      <c r="A21" s="154"/>
      <c r="B21" s="154"/>
      <c r="C21" s="155" t="s">
        <v>533</v>
      </c>
      <c r="D21" s="156">
        <f aca="true" t="shared" si="4" ref="D21:L21">SUM(D11+D20)</f>
        <v>150584</v>
      </c>
      <c r="E21" s="156">
        <f t="shared" si="4"/>
        <v>34583</v>
      </c>
      <c r="F21" s="156">
        <f t="shared" si="4"/>
        <v>70281</v>
      </c>
      <c r="G21" s="156">
        <f t="shared" si="4"/>
        <v>4860</v>
      </c>
      <c r="H21" s="156">
        <f t="shared" si="4"/>
        <v>0</v>
      </c>
      <c r="I21" s="156">
        <f t="shared" si="4"/>
        <v>19153</v>
      </c>
      <c r="J21" s="156">
        <f t="shared" si="4"/>
        <v>21367</v>
      </c>
      <c r="K21" s="156">
        <f t="shared" si="4"/>
        <v>22333</v>
      </c>
      <c r="L21" s="156">
        <f t="shared" si="4"/>
        <v>323161</v>
      </c>
    </row>
    <row r="22" spans="1:12" s="96" customFormat="1" ht="15.75" customHeight="1">
      <c r="A22" s="149">
        <v>2</v>
      </c>
      <c r="B22" s="149">
        <v>17</v>
      </c>
      <c r="C22" s="150" t="s">
        <v>526</v>
      </c>
      <c r="D22" s="151">
        <v>19046</v>
      </c>
      <c r="E22" s="151">
        <v>5167</v>
      </c>
      <c r="F22" s="151">
        <v>125229</v>
      </c>
      <c r="G22" s="151">
        <v>61816</v>
      </c>
      <c r="H22" s="151"/>
      <c r="I22" s="151"/>
      <c r="J22" s="151">
        <v>1800</v>
      </c>
      <c r="K22" s="151">
        <v>390</v>
      </c>
      <c r="L22" s="152">
        <f>SUM(D22:K22)</f>
        <v>213448</v>
      </c>
    </row>
    <row r="23" spans="1:12" s="96" customFormat="1" ht="15.75" customHeight="1">
      <c r="A23" s="149"/>
      <c r="B23" s="634" t="s">
        <v>1109</v>
      </c>
      <c r="C23" s="764" t="s">
        <v>534</v>
      </c>
      <c r="D23" s="765">
        <v>9743</v>
      </c>
      <c r="E23" s="765">
        <v>2606</v>
      </c>
      <c r="F23" s="765">
        <v>59</v>
      </c>
      <c r="G23" s="765"/>
      <c r="H23" s="765"/>
      <c r="I23" s="765"/>
      <c r="J23" s="765">
        <v>900</v>
      </c>
      <c r="K23" s="765"/>
      <c r="L23" s="767">
        <f>SUM(D23:K23)</f>
        <v>13308</v>
      </c>
    </row>
    <row r="24" spans="1:12" s="96" customFormat="1" ht="15.75" customHeight="1">
      <c r="A24" s="149"/>
      <c r="B24" s="634" t="s">
        <v>1110</v>
      </c>
      <c r="C24" s="764" t="s">
        <v>535</v>
      </c>
      <c r="D24" s="765">
        <v>3350</v>
      </c>
      <c r="E24" s="765">
        <v>975</v>
      </c>
      <c r="F24" s="765">
        <v>1530</v>
      </c>
      <c r="G24" s="765">
        <v>2000</v>
      </c>
      <c r="H24" s="765"/>
      <c r="I24" s="765"/>
      <c r="J24" s="765"/>
      <c r="K24" s="765">
        <v>390</v>
      </c>
      <c r="L24" s="767">
        <f aca="true" t="shared" si="5" ref="L24:L43">SUM(D24:K24)</f>
        <v>8245</v>
      </c>
    </row>
    <row r="25" spans="1:12" s="96" customFormat="1" ht="15.75" customHeight="1">
      <c r="A25" s="149"/>
      <c r="B25" s="634" t="s">
        <v>1111</v>
      </c>
      <c r="C25" s="764" t="s">
        <v>536</v>
      </c>
      <c r="D25" s="765">
        <v>2203</v>
      </c>
      <c r="E25" s="765">
        <v>594</v>
      </c>
      <c r="F25" s="765">
        <v>71047</v>
      </c>
      <c r="G25" s="765">
        <v>2400</v>
      </c>
      <c r="H25" s="765"/>
      <c r="I25" s="765"/>
      <c r="J25" s="765">
        <v>900</v>
      </c>
      <c r="K25" s="765"/>
      <c r="L25" s="767">
        <f t="shared" si="5"/>
        <v>77144</v>
      </c>
    </row>
    <row r="26" spans="1:12" s="96" customFormat="1" ht="15.75" customHeight="1">
      <c r="A26" s="149"/>
      <c r="B26" s="634" t="s">
        <v>1112</v>
      </c>
      <c r="C26" s="764" t="s">
        <v>675</v>
      </c>
      <c r="D26" s="765">
        <v>3750</v>
      </c>
      <c r="E26" s="765">
        <v>992</v>
      </c>
      <c r="F26" s="765">
        <v>52593</v>
      </c>
      <c r="G26" s="765">
        <v>57416</v>
      </c>
      <c r="H26" s="765"/>
      <c r="I26" s="765"/>
      <c r="J26" s="765"/>
      <c r="K26" s="765"/>
      <c r="L26" s="767">
        <f t="shared" si="5"/>
        <v>114751</v>
      </c>
    </row>
    <row r="27" spans="1:12" s="96" customFormat="1" ht="15.75" customHeight="1">
      <c r="A27" s="149">
        <v>2</v>
      </c>
      <c r="B27" s="635">
        <v>19</v>
      </c>
      <c r="C27" s="150" t="s">
        <v>537</v>
      </c>
      <c r="D27" s="151">
        <v>21193</v>
      </c>
      <c r="E27" s="151">
        <v>3634</v>
      </c>
      <c r="F27" s="151">
        <v>19143</v>
      </c>
      <c r="G27" s="151"/>
      <c r="H27" s="151"/>
      <c r="I27" s="151"/>
      <c r="J27" s="151">
        <v>1657</v>
      </c>
      <c r="K27" s="151">
        <v>1039</v>
      </c>
      <c r="L27" s="152">
        <f t="shared" si="5"/>
        <v>46666</v>
      </c>
    </row>
    <row r="28" spans="1:12" s="96" customFormat="1" ht="15.75" customHeight="1">
      <c r="A28" s="149">
        <v>2</v>
      </c>
      <c r="B28" s="635">
        <v>20</v>
      </c>
      <c r="C28" s="150" t="s">
        <v>538</v>
      </c>
      <c r="D28" s="151">
        <v>19741</v>
      </c>
      <c r="E28" s="151">
        <v>4985</v>
      </c>
      <c r="F28" s="151">
        <v>3236</v>
      </c>
      <c r="G28" s="151">
        <v>11497</v>
      </c>
      <c r="H28" s="151"/>
      <c r="I28" s="151"/>
      <c r="J28" s="151"/>
      <c r="K28" s="151"/>
      <c r="L28" s="152">
        <f t="shared" si="5"/>
        <v>39459</v>
      </c>
    </row>
    <row r="29" spans="1:12" s="96" customFormat="1" ht="15.75" customHeight="1">
      <c r="A29" s="149"/>
      <c r="B29" s="634" t="s">
        <v>994</v>
      </c>
      <c r="C29" s="768" t="s">
        <v>680</v>
      </c>
      <c r="D29" s="765">
        <v>4927</v>
      </c>
      <c r="E29" s="765">
        <v>1254</v>
      </c>
      <c r="F29" s="765">
        <v>2960</v>
      </c>
      <c r="G29" s="765"/>
      <c r="H29" s="765"/>
      <c r="I29" s="765"/>
      <c r="J29" s="765"/>
      <c r="K29" s="765"/>
      <c r="L29" s="767">
        <f t="shared" si="5"/>
        <v>9141</v>
      </c>
    </row>
    <row r="30" spans="1:12" s="96" customFormat="1" ht="15.75" customHeight="1">
      <c r="A30" s="149"/>
      <c r="B30" s="634" t="s">
        <v>995</v>
      </c>
      <c r="C30" s="768" t="s">
        <v>681</v>
      </c>
      <c r="D30" s="765">
        <v>5010</v>
      </c>
      <c r="E30" s="765">
        <v>1262</v>
      </c>
      <c r="F30" s="765">
        <v>3478</v>
      </c>
      <c r="G30" s="765"/>
      <c r="H30" s="765"/>
      <c r="I30" s="765"/>
      <c r="J30" s="765"/>
      <c r="K30" s="765"/>
      <c r="L30" s="767">
        <f t="shared" si="5"/>
        <v>9750</v>
      </c>
    </row>
    <row r="31" spans="1:12" s="96" customFormat="1" ht="15.75" customHeight="1">
      <c r="A31" s="149"/>
      <c r="B31" s="634" t="s">
        <v>996</v>
      </c>
      <c r="C31" s="768" t="s">
        <v>682</v>
      </c>
      <c r="D31" s="765">
        <v>4173</v>
      </c>
      <c r="E31" s="765">
        <v>1055</v>
      </c>
      <c r="F31" s="765">
        <v>1671</v>
      </c>
      <c r="G31" s="765"/>
      <c r="H31" s="765"/>
      <c r="I31" s="765"/>
      <c r="J31" s="765"/>
      <c r="K31" s="765"/>
      <c r="L31" s="767">
        <f t="shared" si="5"/>
        <v>6899</v>
      </c>
    </row>
    <row r="32" spans="1:12" s="96" customFormat="1" ht="15.75" customHeight="1">
      <c r="A32" s="149"/>
      <c r="B32" s="634" t="s">
        <v>1113</v>
      </c>
      <c r="C32" s="768" t="s">
        <v>683</v>
      </c>
      <c r="D32" s="765">
        <v>5119</v>
      </c>
      <c r="E32" s="765">
        <v>1275</v>
      </c>
      <c r="F32" s="765">
        <v>3118</v>
      </c>
      <c r="G32" s="765"/>
      <c r="H32" s="765"/>
      <c r="I32" s="765"/>
      <c r="J32" s="765"/>
      <c r="K32" s="765"/>
      <c r="L32" s="767">
        <f t="shared" si="5"/>
        <v>9512</v>
      </c>
    </row>
    <row r="33" spans="1:12" s="96" customFormat="1" ht="15.75" customHeight="1">
      <c r="A33" s="149"/>
      <c r="B33" s="634" t="s">
        <v>1114</v>
      </c>
      <c r="C33" s="764" t="s">
        <v>89</v>
      </c>
      <c r="D33" s="765">
        <v>512</v>
      </c>
      <c r="E33" s="765">
        <v>139</v>
      </c>
      <c r="F33" s="765">
        <v>-7991</v>
      </c>
      <c r="G33" s="765">
        <v>11497</v>
      </c>
      <c r="H33" s="765"/>
      <c r="I33" s="765"/>
      <c r="J33" s="765"/>
      <c r="K33" s="765"/>
      <c r="L33" s="767">
        <f t="shared" si="5"/>
        <v>4157</v>
      </c>
    </row>
    <row r="34" spans="1:12" s="96" customFormat="1" ht="15.75" customHeight="1">
      <c r="A34" s="149">
        <v>2</v>
      </c>
      <c r="B34" s="635">
        <v>21</v>
      </c>
      <c r="C34" s="21" t="s">
        <v>113</v>
      </c>
      <c r="D34" s="151">
        <v>10930</v>
      </c>
      <c r="E34" s="151">
        <v>1952</v>
      </c>
      <c r="F34" s="151">
        <v>12999</v>
      </c>
      <c r="G34" s="151">
        <v>14490</v>
      </c>
      <c r="H34" s="151"/>
      <c r="I34" s="151"/>
      <c r="J34" s="151"/>
      <c r="K34" s="151">
        <v>3750</v>
      </c>
      <c r="L34" s="152">
        <f t="shared" si="5"/>
        <v>44121</v>
      </c>
    </row>
    <row r="35" spans="1:12" s="96" customFormat="1" ht="15.75" customHeight="1">
      <c r="A35" s="149"/>
      <c r="B35" s="634" t="s">
        <v>1115</v>
      </c>
      <c r="C35" s="764" t="s">
        <v>539</v>
      </c>
      <c r="D35" s="765">
        <v>1881</v>
      </c>
      <c r="E35" s="765">
        <v>508</v>
      </c>
      <c r="F35" s="765">
        <v>7798</v>
      </c>
      <c r="G35" s="765"/>
      <c r="H35" s="765"/>
      <c r="I35" s="765"/>
      <c r="J35" s="765"/>
      <c r="K35" s="765">
        <v>1512</v>
      </c>
      <c r="L35" s="767">
        <f t="shared" si="5"/>
        <v>11699</v>
      </c>
    </row>
    <row r="36" spans="1:12" s="96" customFormat="1" ht="15.75" customHeight="1">
      <c r="A36" s="149"/>
      <c r="B36" s="634" t="s">
        <v>1116</v>
      </c>
      <c r="C36" s="764" t="s">
        <v>114</v>
      </c>
      <c r="D36" s="765">
        <v>8075</v>
      </c>
      <c r="E36" s="765">
        <v>1185</v>
      </c>
      <c r="F36" s="765">
        <v>305</v>
      </c>
      <c r="G36" s="765">
        <v>14490</v>
      </c>
      <c r="H36" s="765"/>
      <c r="I36" s="765"/>
      <c r="J36" s="765"/>
      <c r="K36" s="765">
        <v>2238</v>
      </c>
      <c r="L36" s="767">
        <f>SUM(D36:K36)</f>
        <v>26293</v>
      </c>
    </row>
    <row r="37" spans="1:12" s="96" customFormat="1" ht="15.75" customHeight="1">
      <c r="A37" s="149"/>
      <c r="B37" s="634" t="s">
        <v>1117</v>
      </c>
      <c r="C37" s="764" t="s">
        <v>103</v>
      </c>
      <c r="D37" s="765">
        <v>974</v>
      </c>
      <c r="E37" s="765">
        <v>259</v>
      </c>
      <c r="F37" s="765">
        <v>4896</v>
      </c>
      <c r="G37" s="765"/>
      <c r="H37" s="765"/>
      <c r="I37" s="765"/>
      <c r="J37" s="765"/>
      <c r="K37" s="765"/>
      <c r="L37" s="767">
        <f t="shared" si="5"/>
        <v>6129</v>
      </c>
    </row>
    <row r="38" spans="1:12" s="96" customFormat="1" ht="15.75" customHeight="1">
      <c r="A38" s="149">
        <v>2</v>
      </c>
      <c r="B38" s="635">
        <v>22</v>
      </c>
      <c r="C38" s="150" t="s">
        <v>540</v>
      </c>
      <c r="D38" s="151">
        <v>799</v>
      </c>
      <c r="E38" s="151">
        <v>189</v>
      </c>
      <c r="F38" s="151">
        <v>392</v>
      </c>
      <c r="G38" s="151"/>
      <c r="H38" s="151"/>
      <c r="I38" s="151"/>
      <c r="J38" s="151"/>
      <c r="K38" s="151"/>
      <c r="L38" s="152">
        <f t="shared" si="5"/>
        <v>1380</v>
      </c>
    </row>
    <row r="39" spans="1:12" s="96" customFormat="1" ht="15.75" customHeight="1">
      <c r="A39" s="149">
        <v>2</v>
      </c>
      <c r="B39" s="635">
        <v>23</v>
      </c>
      <c r="C39" s="150" t="s">
        <v>629</v>
      </c>
      <c r="D39" s="151">
        <v>1025</v>
      </c>
      <c r="E39" s="151">
        <v>277</v>
      </c>
      <c r="F39" s="151">
        <v>148</v>
      </c>
      <c r="G39" s="151"/>
      <c r="H39" s="151"/>
      <c r="I39" s="151"/>
      <c r="J39" s="151">
        <v>100</v>
      </c>
      <c r="K39" s="151"/>
      <c r="L39" s="152">
        <f t="shared" si="5"/>
        <v>1550</v>
      </c>
    </row>
    <row r="40" spans="1:12" s="96" customFormat="1" ht="15.75" customHeight="1">
      <c r="A40" s="149">
        <v>2</v>
      </c>
      <c r="B40" s="635">
        <v>24</v>
      </c>
      <c r="C40" s="150" t="s">
        <v>542</v>
      </c>
      <c r="D40" s="151">
        <v>2894</v>
      </c>
      <c r="E40" s="151">
        <v>895</v>
      </c>
      <c r="F40" s="151">
        <v>1450</v>
      </c>
      <c r="G40" s="151"/>
      <c r="H40" s="151"/>
      <c r="I40" s="151"/>
      <c r="J40" s="151">
        <v>-300</v>
      </c>
      <c r="K40" s="151">
        <v>300</v>
      </c>
      <c r="L40" s="152">
        <f t="shared" si="5"/>
        <v>5239</v>
      </c>
    </row>
    <row r="41" spans="1:12" s="96" customFormat="1" ht="15.75" customHeight="1">
      <c r="A41" s="149">
        <v>2</v>
      </c>
      <c r="B41" s="634">
        <v>25</v>
      </c>
      <c r="C41" s="150" t="s">
        <v>946</v>
      </c>
      <c r="D41" s="151">
        <v>5290</v>
      </c>
      <c r="E41" s="151">
        <v>1099</v>
      </c>
      <c r="F41" s="151">
        <v>5945</v>
      </c>
      <c r="G41" s="151">
        <v>6183</v>
      </c>
      <c r="H41" s="151"/>
      <c r="I41" s="151"/>
      <c r="J41" s="151"/>
      <c r="K41" s="151"/>
      <c r="L41" s="152">
        <f t="shared" si="5"/>
        <v>18517</v>
      </c>
    </row>
    <row r="42" spans="1:12" s="96" customFormat="1" ht="15.75" customHeight="1">
      <c r="A42" s="149"/>
      <c r="B42" s="634" t="s">
        <v>997</v>
      </c>
      <c r="C42" s="764" t="s">
        <v>116</v>
      </c>
      <c r="D42" s="765">
        <v>3553</v>
      </c>
      <c r="E42" s="765">
        <v>809</v>
      </c>
      <c r="F42" s="765">
        <v>5545</v>
      </c>
      <c r="G42" s="765">
        <v>6183</v>
      </c>
      <c r="H42" s="765"/>
      <c r="I42" s="765"/>
      <c r="J42" s="765"/>
      <c r="K42" s="765"/>
      <c r="L42" s="767">
        <f t="shared" si="5"/>
        <v>16090</v>
      </c>
    </row>
    <row r="43" spans="1:12" s="96" customFormat="1" ht="15.75" customHeight="1">
      <c r="A43" s="149"/>
      <c r="B43" s="634" t="s">
        <v>998</v>
      </c>
      <c r="C43" s="764" t="s">
        <v>115</v>
      </c>
      <c r="D43" s="765">
        <v>1737</v>
      </c>
      <c r="E43" s="765">
        <v>290</v>
      </c>
      <c r="F43" s="765">
        <v>400</v>
      </c>
      <c r="G43" s="765"/>
      <c r="H43" s="765"/>
      <c r="I43" s="765"/>
      <c r="J43" s="765"/>
      <c r="K43" s="765"/>
      <c r="L43" s="767">
        <f t="shared" si="5"/>
        <v>2427</v>
      </c>
    </row>
    <row r="44" spans="1:12" s="96" customFormat="1" ht="15.75" customHeight="1" thickBot="1">
      <c r="A44" s="154"/>
      <c r="B44" s="154"/>
      <c r="C44" s="155" t="s">
        <v>613</v>
      </c>
      <c r="D44" s="156">
        <f>SUM(D22+D27+D28+D34+D38+D39+D40+D41)</f>
        <v>80918</v>
      </c>
      <c r="E44" s="156">
        <f aca="true" t="shared" si="6" ref="E44:L44">SUM(E22+E27+E28+E34+E38+E39+E40+E41)</f>
        <v>18198</v>
      </c>
      <c r="F44" s="156">
        <f t="shared" si="6"/>
        <v>168542</v>
      </c>
      <c r="G44" s="156">
        <f t="shared" si="6"/>
        <v>93986</v>
      </c>
      <c r="H44" s="156">
        <f t="shared" si="6"/>
        <v>0</v>
      </c>
      <c r="I44" s="156">
        <f t="shared" si="6"/>
        <v>0</v>
      </c>
      <c r="J44" s="156">
        <f t="shared" si="6"/>
        <v>3257</v>
      </c>
      <c r="K44" s="156">
        <f t="shared" si="6"/>
        <v>5479</v>
      </c>
      <c r="L44" s="156">
        <f t="shared" si="6"/>
        <v>370380</v>
      </c>
    </row>
    <row r="45" spans="1:12" s="96" customFormat="1" ht="15.75" customHeight="1" thickBot="1">
      <c r="A45" s="178"/>
      <c r="B45" s="179"/>
      <c r="C45" s="162" t="s">
        <v>614</v>
      </c>
      <c r="D45" s="163">
        <f aca="true" t="shared" si="7" ref="D45:L45">SUM(D2+D21+D44)</f>
        <v>186278</v>
      </c>
      <c r="E45" s="163">
        <f t="shared" si="7"/>
        <v>43353</v>
      </c>
      <c r="F45" s="163">
        <f t="shared" si="7"/>
        <v>247124</v>
      </c>
      <c r="G45" s="163">
        <f t="shared" si="7"/>
        <v>98846</v>
      </c>
      <c r="H45" s="163">
        <f t="shared" si="7"/>
        <v>0</v>
      </c>
      <c r="I45" s="163">
        <f t="shared" si="7"/>
        <v>19153</v>
      </c>
      <c r="J45" s="163">
        <f t="shared" si="7"/>
        <v>24624</v>
      </c>
      <c r="K45" s="163">
        <f t="shared" si="7"/>
        <v>-3651</v>
      </c>
      <c r="L45" s="163">
        <f t="shared" si="7"/>
        <v>615727</v>
      </c>
    </row>
    <row r="46" spans="1:12" s="96" customFormat="1" ht="12.75">
      <c r="A46" s="180"/>
      <c r="B46" s="180"/>
      <c r="C46" s="165"/>
      <c r="D46" s="167"/>
      <c r="E46" s="167"/>
      <c r="F46" s="167"/>
      <c r="G46" s="167"/>
      <c r="H46" s="167"/>
      <c r="I46" s="167"/>
      <c r="J46" s="167"/>
      <c r="K46" s="167"/>
      <c r="L46" s="167"/>
    </row>
    <row r="47" spans="1:12" s="96" customFormat="1" ht="12.75">
      <c r="A47" s="180"/>
      <c r="B47" s="180"/>
      <c r="C47" s="165"/>
      <c r="D47" s="167"/>
      <c r="E47" s="167"/>
      <c r="F47" s="167"/>
      <c r="G47" s="167"/>
      <c r="H47" s="167"/>
      <c r="I47" s="167"/>
      <c r="J47" s="167"/>
      <c r="K47" s="167"/>
      <c r="L47" s="167"/>
    </row>
    <row r="48" spans="1:12" s="96" customFormat="1" ht="12.75">
      <c r="A48" s="180"/>
      <c r="B48" s="180"/>
      <c r="C48" s="165"/>
      <c r="D48" s="167"/>
      <c r="E48" s="167"/>
      <c r="F48" s="167"/>
      <c r="G48" s="167"/>
      <c r="H48" s="167"/>
      <c r="I48" s="167"/>
      <c r="J48" s="167"/>
      <c r="K48" s="167"/>
      <c r="L48" s="167"/>
    </row>
    <row r="49" spans="1:12" s="96" customFormat="1" ht="12.75">
      <c r="A49" s="180"/>
      <c r="B49" s="180"/>
      <c r="C49" s="165"/>
      <c r="D49" s="164"/>
      <c r="E49" s="164"/>
      <c r="F49" s="164"/>
      <c r="G49" s="164"/>
      <c r="H49" s="164"/>
      <c r="I49" s="164"/>
      <c r="J49" s="164"/>
      <c r="K49" s="164"/>
      <c r="L49" s="164"/>
    </row>
    <row r="50" spans="1:12" s="96" customFormat="1" ht="12.75">
      <c r="A50" s="180"/>
      <c r="B50" s="180"/>
      <c r="C50" s="165"/>
      <c r="D50" s="164"/>
      <c r="E50" s="164"/>
      <c r="F50" s="164"/>
      <c r="G50" s="164"/>
      <c r="H50" s="164"/>
      <c r="I50" s="164"/>
      <c r="J50" s="164"/>
      <c r="K50" s="164"/>
      <c r="L50" s="164"/>
    </row>
    <row r="51" spans="1:12" s="96" customFormat="1" ht="12.75">
      <c r="A51" s="180"/>
      <c r="B51" s="180"/>
      <c r="C51" s="165"/>
      <c r="D51" s="164"/>
      <c r="E51" s="164"/>
      <c r="F51" s="164"/>
      <c r="G51" s="164"/>
      <c r="H51" s="164"/>
      <c r="I51" s="164"/>
      <c r="J51" s="164"/>
      <c r="K51" s="164"/>
      <c r="L51" s="164"/>
    </row>
    <row r="52" spans="1:12" s="96" customFormat="1" ht="12.75">
      <c r="A52" s="180"/>
      <c r="B52" s="180"/>
      <c r="C52" s="165"/>
      <c r="D52" s="164"/>
      <c r="E52" s="164"/>
      <c r="F52" s="164"/>
      <c r="G52" s="164"/>
      <c r="H52" s="164"/>
      <c r="I52" s="164"/>
      <c r="J52" s="164"/>
      <c r="K52" s="164"/>
      <c r="L52" s="164"/>
    </row>
    <row r="53" spans="1:12" s="96" customFormat="1" ht="12.75">
      <c r="A53" s="180"/>
      <c r="B53" s="180"/>
      <c r="C53" s="165"/>
      <c r="D53" s="164"/>
      <c r="E53" s="164"/>
      <c r="F53" s="164"/>
      <c r="G53" s="164"/>
      <c r="H53" s="164"/>
      <c r="I53" s="164"/>
      <c r="J53" s="164"/>
      <c r="K53" s="164"/>
      <c r="L53" s="164"/>
    </row>
    <row r="54" spans="1:12" s="96" customFormat="1" ht="12.75">
      <c r="A54" s="180"/>
      <c r="B54" s="180"/>
      <c r="C54" s="164"/>
      <c r="D54" s="164"/>
      <c r="E54" s="164"/>
      <c r="F54" s="164"/>
      <c r="G54" s="164"/>
      <c r="H54" s="164"/>
      <c r="I54" s="164"/>
      <c r="J54" s="164"/>
      <c r="K54" s="164"/>
      <c r="L54" s="164"/>
    </row>
    <row r="55" spans="1:12" s="96" customFormat="1" ht="12.75">
      <c r="A55" s="180"/>
      <c r="B55" s="180"/>
      <c r="C55" s="164"/>
      <c r="D55" s="164"/>
      <c r="E55" s="164"/>
      <c r="F55" s="164"/>
      <c r="G55" s="164"/>
      <c r="H55" s="164"/>
      <c r="I55" s="164"/>
      <c r="J55" s="164"/>
      <c r="K55" s="164"/>
      <c r="L55" s="164"/>
    </row>
    <row r="56" spans="1:12" s="96" customFormat="1" ht="12.75">
      <c r="A56" s="180"/>
      <c r="B56" s="180"/>
      <c r="C56" s="164"/>
      <c r="D56" s="164"/>
      <c r="E56" s="164"/>
      <c r="F56" s="164"/>
      <c r="G56" s="164"/>
      <c r="H56" s="164"/>
      <c r="I56" s="164"/>
      <c r="J56" s="164"/>
      <c r="K56" s="164"/>
      <c r="L56" s="164"/>
    </row>
    <row r="57" spans="1:12" s="96" customFormat="1" ht="12.75">
      <c r="A57" s="180"/>
      <c r="B57" s="180"/>
      <c r="C57" s="164"/>
      <c r="D57" s="164"/>
      <c r="E57" s="164"/>
      <c r="F57" s="164"/>
      <c r="G57" s="164"/>
      <c r="H57" s="164"/>
      <c r="I57" s="164"/>
      <c r="J57" s="164"/>
      <c r="K57" s="164"/>
      <c r="L57" s="164"/>
    </row>
    <row r="58" spans="1:2" s="96" customFormat="1" ht="12.75">
      <c r="A58" s="99"/>
      <c r="B58" s="99"/>
    </row>
    <row r="59" spans="1:2" s="96" customFormat="1" ht="12.75">
      <c r="A59" s="99"/>
      <c r="B59" s="99"/>
    </row>
    <row r="60" spans="1:2" s="96" customFormat="1" ht="12.75">
      <c r="A60" s="99"/>
      <c r="B60" s="99"/>
    </row>
    <row r="61" spans="1:2" s="96" customFormat="1" ht="12.75">
      <c r="A61" s="99"/>
      <c r="B61" s="99"/>
    </row>
    <row r="62" spans="1:2" s="96" customFormat="1" ht="12.75">
      <c r="A62" s="99"/>
      <c r="B62" s="99"/>
    </row>
    <row r="63" spans="1:2" s="96" customFormat="1" ht="12.75">
      <c r="A63" s="99"/>
      <c r="B63" s="99"/>
    </row>
    <row r="64" spans="1:2" s="96" customFormat="1" ht="12.75">
      <c r="A64" s="99"/>
      <c r="B64" s="99"/>
    </row>
    <row r="65" spans="1:2" s="96" customFormat="1" ht="12.75">
      <c r="A65" s="99"/>
      <c r="B65" s="99"/>
    </row>
    <row r="66" spans="1:2" s="96" customFormat="1" ht="12.75">
      <c r="A66" s="99"/>
      <c r="B66" s="99"/>
    </row>
    <row r="67" spans="1:2" s="96" customFormat="1" ht="12.75">
      <c r="A67" s="99"/>
      <c r="B67" s="99"/>
    </row>
    <row r="68" spans="1:2" s="96" customFormat="1" ht="12.75">
      <c r="A68" s="99"/>
      <c r="B68" s="99"/>
    </row>
    <row r="69" spans="1:2" s="96" customFormat="1" ht="12.75">
      <c r="A69" s="99"/>
      <c r="B69" s="99"/>
    </row>
    <row r="70" spans="1:2" s="96" customFormat="1" ht="12.75">
      <c r="A70" s="99"/>
      <c r="B70" s="99"/>
    </row>
    <row r="71" spans="1:2" s="96" customFormat="1" ht="12.75">
      <c r="A71" s="99"/>
      <c r="B71" s="99"/>
    </row>
    <row r="72" spans="1:2" s="96" customFormat="1" ht="12.75">
      <c r="A72" s="99"/>
      <c r="B72" s="99"/>
    </row>
    <row r="73" spans="1:2" s="96" customFormat="1" ht="12.75">
      <c r="A73" s="99"/>
      <c r="B73" s="99"/>
    </row>
    <row r="74" spans="1:2" s="96" customFormat="1" ht="12.75">
      <c r="A74" s="99"/>
      <c r="B74" s="99"/>
    </row>
    <row r="75" spans="1:2" s="96" customFormat="1" ht="12.75">
      <c r="A75" s="99"/>
      <c r="B75" s="99"/>
    </row>
    <row r="76" spans="1:2" s="96" customFormat="1" ht="12.75">
      <c r="A76" s="99"/>
      <c r="B76" s="99"/>
    </row>
    <row r="77" spans="1:2" s="96" customFormat="1" ht="12.75">
      <c r="A77" s="99"/>
      <c r="B77" s="99"/>
    </row>
    <row r="78" spans="1:2" s="96" customFormat="1" ht="12.75">
      <c r="A78" s="99"/>
      <c r="B78" s="99"/>
    </row>
    <row r="79" spans="1:2" s="96" customFormat="1" ht="12.75">
      <c r="A79" s="99"/>
      <c r="B79" s="99"/>
    </row>
    <row r="80" spans="1:2" s="96" customFormat="1" ht="12.75">
      <c r="A80" s="99"/>
      <c r="B80" s="99"/>
    </row>
    <row r="81" spans="1:2" s="96" customFormat="1" ht="12.75">
      <c r="A81" s="99"/>
      <c r="B81" s="99"/>
    </row>
    <row r="82" spans="1:2" s="96" customFormat="1" ht="12.75">
      <c r="A82" s="99"/>
      <c r="B82" s="99"/>
    </row>
    <row r="83" spans="1:2" s="96" customFormat="1" ht="12.75">
      <c r="A83" s="99"/>
      <c r="B83" s="99"/>
    </row>
    <row r="84" spans="1:2" s="96" customFormat="1" ht="12.75">
      <c r="A84" s="99"/>
      <c r="B84" s="99"/>
    </row>
    <row r="85" spans="1:2" s="96" customFormat="1" ht="12.75">
      <c r="A85" s="99"/>
      <c r="B85" s="99"/>
    </row>
    <row r="86" spans="1:2" s="96" customFormat="1" ht="12.75">
      <c r="A86" s="99"/>
      <c r="B86" s="99"/>
    </row>
    <row r="87" spans="1:2" s="96" customFormat="1" ht="12.75">
      <c r="A87" s="99"/>
      <c r="B87" s="99"/>
    </row>
    <row r="88" spans="1:2" s="96" customFormat="1" ht="12.75">
      <c r="A88" s="99"/>
      <c r="B88" s="99"/>
    </row>
    <row r="89" spans="1:2" s="96" customFormat="1" ht="12.75">
      <c r="A89" s="99"/>
      <c r="B89" s="99"/>
    </row>
    <row r="90" spans="1:2" s="96" customFormat="1" ht="12.75">
      <c r="A90" s="99"/>
      <c r="B90" s="99"/>
    </row>
    <row r="91" spans="1:2" s="96" customFormat="1" ht="12.75">
      <c r="A91" s="99"/>
      <c r="B91" s="99"/>
    </row>
    <row r="92" spans="1:2" s="96" customFormat="1" ht="12.75">
      <c r="A92" s="99"/>
      <c r="B92" s="99"/>
    </row>
    <row r="93" spans="1:2" s="96" customFormat="1" ht="12.75">
      <c r="A93" s="99"/>
      <c r="B93" s="99"/>
    </row>
    <row r="94" spans="1:2" s="96" customFormat="1" ht="12.75">
      <c r="A94" s="99"/>
      <c r="B94" s="99"/>
    </row>
    <row r="95" spans="1:2" s="96" customFormat="1" ht="12.75">
      <c r="A95" s="99"/>
      <c r="B95" s="99"/>
    </row>
    <row r="96" spans="1:2" s="96" customFormat="1" ht="12.75">
      <c r="A96" s="99"/>
      <c r="B96" s="99"/>
    </row>
    <row r="97" spans="1:2" s="96" customFormat="1" ht="12.75">
      <c r="A97" s="99"/>
      <c r="B97" s="99"/>
    </row>
    <row r="98" spans="1:2" s="96" customFormat="1" ht="12.75">
      <c r="A98" s="99"/>
      <c r="B98" s="99"/>
    </row>
    <row r="99" spans="1:2" s="96" customFormat="1" ht="12.75">
      <c r="A99" s="99"/>
      <c r="B99" s="99"/>
    </row>
    <row r="100" spans="1:2" s="96" customFormat="1" ht="12.75">
      <c r="A100" s="99"/>
      <c r="B100" s="99"/>
    </row>
    <row r="101" spans="1:2" s="96" customFormat="1" ht="12.75">
      <c r="A101" s="99"/>
      <c r="B101" s="99"/>
    </row>
    <row r="102" spans="1:2" s="96" customFormat="1" ht="12.75">
      <c r="A102" s="99"/>
      <c r="B102" s="99"/>
    </row>
    <row r="103" spans="1:2" s="96" customFormat="1" ht="12.75">
      <c r="A103" s="99"/>
      <c r="B103" s="99"/>
    </row>
    <row r="104" spans="1:2" s="96" customFormat="1" ht="12.75">
      <c r="A104" s="99"/>
      <c r="B104" s="99"/>
    </row>
    <row r="105" spans="1:2" s="96" customFormat="1" ht="12.75">
      <c r="A105" s="99"/>
      <c r="B105" s="99"/>
    </row>
    <row r="106" spans="1:2" s="96" customFormat="1" ht="12.75">
      <c r="A106" s="99"/>
      <c r="B106" s="99"/>
    </row>
    <row r="107" spans="1:2" s="96" customFormat="1" ht="12.75">
      <c r="A107" s="99"/>
      <c r="B107" s="99"/>
    </row>
    <row r="108" spans="1:2" s="96" customFormat="1" ht="12.75">
      <c r="A108" s="99"/>
      <c r="B108" s="99"/>
    </row>
    <row r="109" spans="1:2" s="96" customFormat="1" ht="12.75">
      <c r="A109" s="99"/>
      <c r="B109" s="99"/>
    </row>
    <row r="110" spans="1:2" s="96" customFormat="1" ht="12.75">
      <c r="A110" s="99"/>
      <c r="B110" s="99"/>
    </row>
    <row r="111" spans="1:2" s="96" customFormat="1" ht="12.75">
      <c r="A111" s="99"/>
      <c r="B111" s="99"/>
    </row>
    <row r="112" spans="1:2" s="96" customFormat="1" ht="12.75">
      <c r="A112" s="99"/>
      <c r="B112" s="99"/>
    </row>
    <row r="113" spans="1:2" s="96" customFormat="1" ht="12.75">
      <c r="A113" s="99"/>
      <c r="B113" s="99"/>
    </row>
    <row r="114" spans="1:2" s="96" customFormat="1" ht="12.75">
      <c r="A114" s="99"/>
      <c r="B114" s="99"/>
    </row>
    <row r="115" spans="1:2" s="96" customFormat="1" ht="12.75">
      <c r="A115" s="99"/>
      <c r="B115" s="99"/>
    </row>
    <row r="116" spans="1:2" s="96" customFormat="1" ht="12.75">
      <c r="A116" s="99"/>
      <c r="B116" s="99"/>
    </row>
    <row r="117" spans="1:2" s="96" customFormat="1" ht="12.75">
      <c r="A117" s="99"/>
      <c r="B117" s="99"/>
    </row>
    <row r="118" spans="1:2" s="96" customFormat="1" ht="12.75">
      <c r="A118" s="99"/>
      <c r="B118" s="99"/>
    </row>
    <row r="119" spans="1:2" s="96" customFormat="1" ht="12.75">
      <c r="A119" s="99"/>
      <c r="B119" s="99"/>
    </row>
    <row r="120" spans="1:2" s="96" customFormat="1" ht="12.75">
      <c r="A120" s="99"/>
      <c r="B120" s="99"/>
    </row>
    <row r="121" spans="1:2" s="96" customFormat="1" ht="12.75">
      <c r="A121" s="99"/>
      <c r="B121" s="99"/>
    </row>
    <row r="122" spans="1:2" s="96" customFormat="1" ht="12.75">
      <c r="A122" s="99"/>
      <c r="B122" s="99"/>
    </row>
    <row r="123" spans="1:2" s="96" customFormat="1" ht="12.75">
      <c r="A123" s="99"/>
      <c r="B123" s="99"/>
    </row>
    <row r="124" spans="1:2" s="96" customFormat="1" ht="12.75">
      <c r="A124" s="99"/>
      <c r="B124" s="99"/>
    </row>
    <row r="125" spans="1:2" s="96" customFormat="1" ht="12.75">
      <c r="A125" s="99"/>
      <c r="B125" s="99"/>
    </row>
    <row r="126" spans="1:2" s="96" customFormat="1" ht="12.75">
      <c r="A126" s="99"/>
      <c r="B126" s="99"/>
    </row>
    <row r="127" spans="1:2" s="96" customFormat="1" ht="12.75">
      <c r="A127" s="99"/>
      <c r="B127" s="99"/>
    </row>
    <row r="128" spans="1:2" s="96" customFormat="1" ht="12.75">
      <c r="A128" s="99"/>
      <c r="B128" s="99"/>
    </row>
    <row r="129" spans="1:2" s="96" customFormat="1" ht="12.75">
      <c r="A129" s="99"/>
      <c r="B129" s="99"/>
    </row>
    <row r="130" spans="1:2" s="96" customFormat="1" ht="12.75">
      <c r="A130" s="99"/>
      <c r="B130" s="99"/>
    </row>
    <row r="131" spans="1:2" s="96" customFormat="1" ht="12.75">
      <c r="A131" s="99"/>
      <c r="B131" s="99"/>
    </row>
    <row r="132" spans="1:2" s="96" customFormat="1" ht="12.75">
      <c r="A132" s="99"/>
      <c r="B132" s="99"/>
    </row>
  </sheetData>
  <printOptions gridLines="1" horizontalCentered="1" verticalCentered="1"/>
  <pageMargins left="0.2362204724409449" right="0.2362204724409449" top="1.299212598425197" bottom="0.3937007874015748" header="0.4330708661417323" footer="0.31496062992125984"/>
  <pageSetup horizontalDpi="300" verticalDpi="300" orientation="landscape" paperSize="9" r:id="rId1"/>
  <headerFooter alignWithMargins="0">
    <oddHeader>&amp;C&amp;"Times New Roman,Normál"ZALAEGERSZEG MEGYEI JOGÚ VÁROS ÖNKORMÁNYZATA
ÁLTAL IRÁNYÍTOTT KÖLTSÉGVETÉSI SZERVEK 
2012. ÉVI  KIADÁSI ELŐIRÁNYZATAINAK MÓDOSÍTÁSA  AZ  II. NEGYEDÉVBEN&amp;R&amp;"Times New Roman,Normál"2. számú tájékoztató tábla
Adatok: ezer Ft-ban</oddHeader>
    <oddFooter>&amp;C 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25">
      <selection activeCell="E37" sqref="E37"/>
    </sheetView>
  </sheetViews>
  <sheetFormatPr defaultColWidth="9.00390625" defaultRowHeight="12.75"/>
  <cols>
    <col min="1" max="1" width="6.875" style="447" customWidth="1"/>
    <col min="2" max="2" width="51.00390625" style="433" customWidth="1"/>
    <col min="3" max="3" width="12.875" style="433" customWidth="1"/>
    <col min="4" max="4" width="15.375" style="433" customWidth="1"/>
    <col min="5" max="5" width="14.00390625" style="433" customWidth="1"/>
    <col min="6" max="16384" width="9.375" style="79" customWidth="1"/>
  </cols>
  <sheetData>
    <row r="1" spans="1:5" s="419" customFormat="1" ht="43.5" customHeight="1" thickBot="1">
      <c r="A1" s="434" t="s">
        <v>867</v>
      </c>
      <c r="B1" s="435" t="s">
        <v>181</v>
      </c>
      <c r="C1" s="435" t="s">
        <v>601</v>
      </c>
      <c r="D1" s="435" t="s">
        <v>270</v>
      </c>
      <c r="E1" s="436" t="s">
        <v>602</v>
      </c>
    </row>
    <row r="2" spans="1:5" s="439" customFormat="1" ht="14.25" customHeight="1">
      <c r="A2" s="437"/>
      <c r="B2" s="438" t="s">
        <v>868</v>
      </c>
      <c r="C2" s="438"/>
      <c r="D2" s="438"/>
      <c r="E2" s="438"/>
    </row>
    <row r="3" spans="1:5" s="419" customFormat="1" ht="14.25" customHeight="1">
      <c r="A3" s="437" t="s">
        <v>869</v>
      </c>
      <c r="B3" s="438" t="s">
        <v>870</v>
      </c>
      <c r="C3" s="440"/>
      <c r="D3" s="440"/>
      <c r="E3" s="440"/>
    </row>
    <row r="4" spans="1:5" s="419" customFormat="1" ht="14.25" customHeight="1">
      <c r="A4" s="441"/>
      <c r="B4" s="440" t="s">
        <v>871</v>
      </c>
      <c r="C4" s="440">
        <v>2299893</v>
      </c>
      <c r="D4" s="440">
        <v>201445</v>
      </c>
      <c r="E4" s="440">
        <f aca="true" t="shared" si="0" ref="E4:E9">SUM(C4+D4)</f>
        <v>2501338</v>
      </c>
    </row>
    <row r="5" spans="1:5" s="419" customFormat="1" ht="14.25" customHeight="1">
      <c r="A5" s="441"/>
      <c r="B5" s="440" t="s">
        <v>872</v>
      </c>
      <c r="C5" s="440"/>
      <c r="D5" s="440"/>
      <c r="E5" s="440">
        <f t="shared" si="0"/>
        <v>0</v>
      </c>
    </row>
    <row r="6" spans="1:5" s="419" customFormat="1" ht="14.25" customHeight="1">
      <c r="A6" s="441"/>
      <c r="B6" s="440" t="s">
        <v>873</v>
      </c>
      <c r="C6" s="440">
        <v>200000</v>
      </c>
      <c r="D6" s="440"/>
      <c r="E6" s="440">
        <f t="shared" si="0"/>
        <v>200000</v>
      </c>
    </row>
    <row r="7" spans="1:5" s="419" customFormat="1" ht="14.25" customHeight="1">
      <c r="A7" s="441"/>
      <c r="B7" s="440" t="s">
        <v>874</v>
      </c>
      <c r="C7" s="440">
        <v>3722200</v>
      </c>
      <c r="D7" s="440"/>
      <c r="E7" s="440">
        <f t="shared" si="0"/>
        <v>3722200</v>
      </c>
    </row>
    <row r="8" spans="1:5" s="419" customFormat="1" ht="14.25" customHeight="1">
      <c r="A8" s="441"/>
      <c r="B8" s="440" t="s">
        <v>875</v>
      </c>
      <c r="C8" s="440">
        <v>1401750</v>
      </c>
      <c r="D8" s="440"/>
      <c r="E8" s="440">
        <f t="shared" si="0"/>
        <v>1401750</v>
      </c>
    </row>
    <row r="9" spans="1:5" s="419" customFormat="1" ht="14.25" customHeight="1">
      <c r="A9" s="441"/>
      <c r="B9" s="440" t="s">
        <v>752</v>
      </c>
      <c r="C9" s="440">
        <v>106520</v>
      </c>
      <c r="D9" s="440"/>
      <c r="E9" s="440">
        <f t="shared" si="0"/>
        <v>106520</v>
      </c>
    </row>
    <row r="10" spans="1:5" s="422" customFormat="1" ht="14.25" customHeight="1">
      <c r="A10" s="442"/>
      <c r="B10" s="443" t="s">
        <v>876</v>
      </c>
      <c r="C10" s="443">
        <f>SUM(C4:C9)</f>
        <v>7730363</v>
      </c>
      <c r="D10" s="443">
        <f>SUM(D4:D9)</f>
        <v>201445</v>
      </c>
      <c r="E10" s="443">
        <f>SUM(E4:E9)</f>
        <v>7931808</v>
      </c>
    </row>
    <row r="11" spans="1:5" s="419" customFormat="1" ht="14.25" customHeight="1">
      <c r="A11" s="437" t="s">
        <v>877</v>
      </c>
      <c r="B11" s="438" t="s">
        <v>878</v>
      </c>
      <c r="C11" s="440"/>
      <c r="D11" s="440"/>
      <c r="E11" s="440"/>
    </row>
    <row r="12" spans="1:5" s="419" customFormat="1" ht="14.25" customHeight="1">
      <c r="A12" s="441"/>
      <c r="B12" s="440" t="s">
        <v>879</v>
      </c>
      <c r="C12" s="440"/>
      <c r="D12" s="440"/>
      <c r="E12" s="440"/>
    </row>
    <row r="13" spans="1:5" s="419" customFormat="1" ht="14.25" customHeight="1">
      <c r="A13" s="441"/>
      <c r="B13" s="440" t="s">
        <v>880</v>
      </c>
      <c r="C13" s="440">
        <v>3713586</v>
      </c>
      <c r="D13" s="440"/>
      <c r="E13" s="440">
        <f>SUM(C13+D13)</f>
        <v>3713586</v>
      </c>
    </row>
    <row r="14" spans="1:5" s="419" customFormat="1" ht="14.25" customHeight="1">
      <c r="A14" s="441"/>
      <c r="B14" s="440" t="s">
        <v>881</v>
      </c>
      <c r="C14" s="440"/>
      <c r="D14" s="440">
        <v>52847</v>
      </c>
      <c r="E14" s="440">
        <f>SUM(C14+D14)</f>
        <v>52847</v>
      </c>
    </row>
    <row r="15" spans="1:5" s="419" customFormat="1" ht="14.25" customHeight="1">
      <c r="A15" s="441"/>
      <c r="B15" s="440" t="s">
        <v>882</v>
      </c>
      <c r="C15" s="440">
        <v>231800</v>
      </c>
      <c r="D15" s="440"/>
      <c r="E15" s="440">
        <f>SUM(C15+D15)</f>
        <v>231800</v>
      </c>
    </row>
    <row r="16" spans="1:5" s="419" customFormat="1" ht="14.25" customHeight="1">
      <c r="A16" s="441"/>
      <c r="B16" s="440" t="s">
        <v>883</v>
      </c>
      <c r="C16" s="440">
        <v>262060</v>
      </c>
      <c r="D16" s="440">
        <v>154707</v>
      </c>
      <c r="E16" s="440">
        <f>SUM(C16+D16)</f>
        <v>416767</v>
      </c>
    </row>
    <row r="17" spans="1:5" s="419" customFormat="1" ht="14.25" customHeight="1">
      <c r="A17" s="441"/>
      <c r="B17" s="440" t="s">
        <v>884</v>
      </c>
      <c r="C17" s="440"/>
      <c r="D17" s="440"/>
      <c r="E17" s="440"/>
    </row>
    <row r="18" spans="1:5" s="419" customFormat="1" ht="14.25" customHeight="1">
      <c r="A18" s="441"/>
      <c r="B18" s="440" t="s">
        <v>603</v>
      </c>
      <c r="C18" s="440">
        <v>700</v>
      </c>
      <c r="D18" s="440"/>
      <c r="E18" s="440">
        <f>SUM(C18+D18)</f>
        <v>700</v>
      </c>
    </row>
    <row r="19" spans="1:5" s="419" customFormat="1" ht="14.25" customHeight="1">
      <c r="A19" s="441"/>
      <c r="B19" s="440" t="s">
        <v>269</v>
      </c>
      <c r="C19" s="440"/>
      <c r="D19" s="440">
        <v>86080</v>
      </c>
      <c r="E19" s="440">
        <f>SUM(C19+D19)</f>
        <v>86080</v>
      </c>
    </row>
    <row r="20" spans="1:5" s="422" customFormat="1" ht="14.25" customHeight="1">
      <c r="A20" s="442"/>
      <c r="B20" s="443" t="s">
        <v>885</v>
      </c>
      <c r="C20" s="443">
        <f>SUM(C12:C19)</f>
        <v>4208146</v>
      </c>
      <c r="D20" s="443">
        <f>SUM(D12:D19)</f>
        <v>293634</v>
      </c>
      <c r="E20" s="443">
        <f>SUM(E12:E19)</f>
        <v>4501780</v>
      </c>
    </row>
    <row r="21" spans="1:5" s="419" customFormat="1" ht="14.25" customHeight="1">
      <c r="A21" s="437" t="s">
        <v>886</v>
      </c>
      <c r="B21" s="438" t="s">
        <v>887</v>
      </c>
      <c r="C21" s="440"/>
      <c r="D21" s="440"/>
      <c r="E21" s="440"/>
    </row>
    <row r="22" spans="1:5" s="419" customFormat="1" ht="14.25" customHeight="1">
      <c r="A22" s="441"/>
      <c r="B22" s="440" t="s">
        <v>888</v>
      </c>
      <c r="C22" s="440">
        <v>380190</v>
      </c>
      <c r="D22" s="440">
        <v>12728</v>
      </c>
      <c r="E22" s="440">
        <f>SUM(C22+D22)</f>
        <v>392918</v>
      </c>
    </row>
    <row r="23" spans="1:5" s="419" customFormat="1" ht="14.25" customHeight="1">
      <c r="A23" s="441"/>
      <c r="B23" s="440" t="s">
        <v>897</v>
      </c>
      <c r="C23" s="440">
        <v>17000</v>
      </c>
      <c r="D23" s="440"/>
      <c r="E23" s="440">
        <f>SUM(C23+D23)</f>
        <v>17000</v>
      </c>
    </row>
    <row r="24" spans="1:5" s="419" customFormat="1" ht="14.25" customHeight="1">
      <c r="A24" s="441"/>
      <c r="B24" s="440" t="s">
        <v>898</v>
      </c>
      <c r="C24" s="440">
        <v>122852</v>
      </c>
      <c r="D24" s="440"/>
      <c r="E24" s="440">
        <f>SUM(C24+D24)</f>
        <v>122852</v>
      </c>
    </row>
    <row r="25" spans="1:5" ht="24.75" customHeight="1">
      <c r="A25" s="442"/>
      <c r="B25" s="443" t="s">
        <v>899</v>
      </c>
      <c r="C25" s="443">
        <f>SUM(C21:C24)</f>
        <v>520042</v>
      </c>
      <c r="D25" s="443">
        <f>SUM(D21:D24)</f>
        <v>12728</v>
      </c>
      <c r="E25" s="443">
        <f>SUM(E21:E24)</f>
        <v>532770</v>
      </c>
    </row>
    <row r="26" spans="1:5" s="419" customFormat="1" ht="13.5" customHeight="1">
      <c r="A26" s="437" t="s">
        <v>900</v>
      </c>
      <c r="B26" s="438" t="s">
        <v>906</v>
      </c>
      <c r="C26" s="440"/>
      <c r="D26" s="440"/>
      <c r="E26" s="440"/>
    </row>
    <row r="27" spans="1:5" s="419" customFormat="1" ht="13.5" customHeight="1">
      <c r="A27" s="441"/>
      <c r="B27" s="440" t="s">
        <v>907</v>
      </c>
      <c r="C27" s="440">
        <v>592862</v>
      </c>
      <c r="D27" s="440">
        <v>118170</v>
      </c>
      <c r="E27" s="440">
        <f>SUM(C27+D27)</f>
        <v>711032</v>
      </c>
    </row>
    <row r="28" spans="1:5" s="419" customFormat="1" ht="13.5" customHeight="1">
      <c r="A28" s="441"/>
      <c r="B28" s="440" t="s">
        <v>908</v>
      </c>
      <c r="C28" s="440">
        <v>1122202</v>
      </c>
      <c r="D28" s="440">
        <v>288006</v>
      </c>
      <c r="E28" s="440">
        <f>SUM(C28+D28)</f>
        <v>1410208</v>
      </c>
    </row>
    <row r="29" spans="1:5" s="422" customFormat="1" ht="13.5" customHeight="1">
      <c r="A29" s="442"/>
      <c r="B29" s="443" t="s">
        <v>909</v>
      </c>
      <c r="C29" s="443">
        <f>SUM(C27:C28)</f>
        <v>1715064</v>
      </c>
      <c r="D29" s="443">
        <f>SUM(D27:D28)</f>
        <v>406176</v>
      </c>
      <c r="E29" s="443">
        <f>SUM(E27:E28)</f>
        <v>2121240</v>
      </c>
    </row>
    <row r="30" spans="1:5" s="419" customFormat="1" ht="13.5" customHeight="1">
      <c r="A30" s="437" t="s">
        <v>910</v>
      </c>
      <c r="B30" s="438" t="s">
        <v>911</v>
      </c>
      <c r="C30" s="440"/>
      <c r="D30" s="440"/>
      <c r="E30" s="440"/>
    </row>
    <row r="31" spans="1:5" s="419" customFormat="1" ht="22.5" customHeight="1">
      <c r="A31" s="441"/>
      <c r="B31" s="440" t="s">
        <v>912</v>
      </c>
      <c r="C31" s="440">
        <v>62573</v>
      </c>
      <c r="D31" s="440">
        <v>29352</v>
      </c>
      <c r="E31" s="440">
        <f>SUM(C31+D31)</f>
        <v>91925</v>
      </c>
    </row>
    <row r="32" spans="1:5" s="419" customFormat="1" ht="22.5" customHeight="1">
      <c r="A32" s="441"/>
      <c r="B32" s="440" t="s">
        <v>913</v>
      </c>
      <c r="C32" s="440">
        <v>410000</v>
      </c>
      <c r="D32" s="440">
        <v>57433</v>
      </c>
      <c r="E32" s="440">
        <f>SUM(C32+D32)</f>
        <v>467433</v>
      </c>
    </row>
    <row r="33" spans="1:5" s="419" customFormat="1" ht="22.5" customHeight="1">
      <c r="A33" s="444"/>
      <c r="B33" s="443" t="s">
        <v>914</v>
      </c>
      <c r="C33" s="443">
        <f>SUM(C31:C32)</f>
        <v>472573</v>
      </c>
      <c r="D33" s="443">
        <f>SUM(D31:D32)</f>
        <v>86785</v>
      </c>
      <c r="E33" s="443">
        <f>SUM(E31:E32)</f>
        <v>559358</v>
      </c>
    </row>
    <row r="34" spans="1:5" s="419" customFormat="1" ht="22.5" customHeight="1">
      <c r="A34" s="442" t="s">
        <v>915</v>
      </c>
      <c r="B34" s="443" t="s">
        <v>916</v>
      </c>
      <c r="C34" s="443">
        <v>20000</v>
      </c>
      <c r="D34" s="443">
        <v>29000</v>
      </c>
      <c r="E34" s="443">
        <f>SUM(C34:D34)</f>
        <v>49000</v>
      </c>
    </row>
    <row r="35" spans="1:5" s="419" customFormat="1" ht="15.75" customHeight="1">
      <c r="A35" s="442"/>
      <c r="B35" s="443" t="s">
        <v>917</v>
      </c>
      <c r="C35" s="443">
        <f>SUM(C10+C20+C25+C29+C33+C34)</f>
        <v>14666188</v>
      </c>
      <c r="D35" s="443">
        <f>SUM(D10+D20+D25+D29+D33+D34)</f>
        <v>1029768</v>
      </c>
      <c r="E35" s="443">
        <f>SUM(E10+E20+E25+E29+E33+E34)</f>
        <v>15695956</v>
      </c>
    </row>
    <row r="36" spans="1:5" s="419" customFormat="1" ht="14.25" customHeight="1">
      <c r="A36" s="437" t="s">
        <v>918</v>
      </c>
      <c r="B36" s="438" t="s">
        <v>919</v>
      </c>
      <c r="C36" s="440"/>
      <c r="D36" s="440"/>
      <c r="E36" s="440"/>
    </row>
    <row r="37" spans="1:5" s="419" customFormat="1" ht="14.25" customHeight="1">
      <c r="A37" s="445"/>
      <c r="B37" s="446" t="s">
        <v>604</v>
      </c>
      <c r="C37" s="446">
        <v>921508</v>
      </c>
      <c r="D37" s="446">
        <v>1030</v>
      </c>
      <c r="E37" s="440">
        <f>SUM(C37:D37)</f>
        <v>922538</v>
      </c>
    </row>
    <row r="38" spans="1:5" s="419" customFormat="1" ht="14.25" customHeight="1">
      <c r="A38" s="444"/>
      <c r="B38" s="443" t="s">
        <v>920</v>
      </c>
      <c r="C38" s="443">
        <f>SUM(C37:C37)</f>
        <v>921508</v>
      </c>
      <c r="D38" s="443">
        <f>SUM(D37:D37)</f>
        <v>1030</v>
      </c>
      <c r="E38" s="443">
        <f>SUM(E37:E37)</f>
        <v>922538</v>
      </c>
    </row>
    <row r="39" spans="1:5" s="419" customFormat="1" ht="14.25" customHeight="1">
      <c r="A39" s="437" t="s">
        <v>921</v>
      </c>
      <c r="B39" s="438" t="s">
        <v>922</v>
      </c>
      <c r="C39" s="438"/>
      <c r="D39" s="438"/>
      <c r="E39" s="438"/>
    </row>
    <row r="40" spans="1:5" s="419" customFormat="1" ht="22.5" customHeight="1">
      <c r="A40" s="441"/>
      <c r="B40" s="440" t="s">
        <v>923</v>
      </c>
      <c r="C40" s="440">
        <v>1535314</v>
      </c>
      <c r="D40" s="440">
        <v>542376</v>
      </c>
      <c r="E40" s="440">
        <f>SUM(C40:D40)</f>
        <v>2077690</v>
      </c>
    </row>
    <row r="41" spans="1:5" s="419" customFormat="1" ht="13.5" customHeight="1">
      <c r="A41" s="441"/>
      <c r="B41" s="440" t="s">
        <v>924</v>
      </c>
      <c r="C41" s="438"/>
      <c r="D41" s="440">
        <v>5314</v>
      </c>
      <c r="E41" s="440">
        <f>SUM(C41:D41)</f>
        <v>5314</v>
      </c>
    </row>
    <row r="42" spans="1:5" s="419" customFormat="1" ht="13.5" customHeight="1">
      <c r="A42" s="441"/>
      <c r="B42" s="440" t="s">
        <v>844</v>
      </c>
      <c r="C42" s="438"/>
      <c r="D42" s="440"/>
      <c r="E42" s="438">
        <f>SUM(C42:D42)</f>
        <v>0</v>
      </c>
    </row>
    <row r="43" spans="1:5" s="419" customFormat="1" ht="26.25" customHeight="1">
      <c r="A43" s="444"/>
      <c r="B43" s="443" t="s">
        <v>925</v>
      </c>
      <c r="C43" s="443">
        <f>SUM(C40:C41)</f>
        <v>1535314</v>
      </c>
      <c r="D43" s="443">
        <f>SUM(D40:D42)</f>
        <v>547690</v>
      </c>
      <c r="E43" s="443">
        <f>SUM(E40:E42)</f>
        <v>2083004</v>
      </c>
    </row>
    <row r="44" spans="1:5" ht="15.75" customHeight="1">
      <c r="A44" s="442"/>
      <c r="B44" s="443" t="s">
        <v>926</v>
      </c>
      <c r="C44" s="443">
        <f>SUM(C35+C38+C43)</f>
        <v>17123010</v>
      </c>
      <c r="D44" s="443">
        <f>SUM(D35+D38+D43)</f>
        <v>1578488</v>
      </c>
      <c r="E44" s="443">
        <f>SUM(E35+E38+E43)</f>
        <v>18701498</v>
      </c>
    </row>
  </sheetData>
  <printOptions horizontalCentered="1"/>
  <pageMargins left="0.35433070866141736" right="0.35433070866141736" top="1.1023622047244095" bottom="0.2362204724409449" header="0.5118110236220472" footer="0.35433070866141736"/>
  <pageSetup horizontalDpi="300" verticalDpi="300" orientation="portrait" paperSize="9" r:id="rId1"/>
  <headerFooter alignWithMargins="0">
    <oddHeader>&amp;C&amp;"Times New Roman CE,Félkövér dőlt"ZALAEGERSZEG MEGYEI  JOGÚ  VÁROS  ÖNKORMÁNYZATA
ÖSSZESÍTŐ A BEVÉTELEKRŐL FORRÁSONKÉNT
2012. ÉVBEN  A II. NEGYEDÉVI MÓDOSÍTÁS UTÁN&amp;R&amp;"Times New Roman CE,Félkövér dőlt"2.sz. melléklet
Adatok ezer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40"/>
  <sheetViews>
    <sheetView zoomScale="90" zoomScaleNormal="90" workbookViewId="0" topLeftCell="A1">
      <pane xSplit="1" ySplit="2" topLeftCell="B108" activePane="bottomRight" state="frozen"/>
      <selection pane="topLeft" activeCell="A1" sqref="A1"/>
      <selection pane="topRight" activeCell="B1" sqref="B1"/>
      <selection pane="bottomLeft" activeCell="A141" sqref="A141"/>
      <selection pane="bottomRight" activeCell="I136" sqref="I136"/>
    </sheetView>
  </sheetViews>
  <sheetFormatPr defaultColWidth="9.00390625" defaultRowHeight="12.75"/>
  <cols>
    <col min="1" max="1" width="64.375" style="642" customWidth="1"/>
    <col min="2" max="2" width="11.625" style="642" customWidth="1"/>
    <col min="3" max="3" width="11.375" style="642" customWidth="1"/>
    <col min="4" max="4" width="11.50390625" style="642" customWidth="1"/>
    <col min="5" max="5" width="13.375" style="642" customWidth="1"/>
    <col min="6" max="6" width="11.50390625" style="642" customWidth="1"/>
    <col min="7" max="7" width="10.625" style="642" customWidth="1"/>
    <col min="8" max="8" width="11.50390625" style="642" customWidth="1"/>
    <col min="9" max="9" width="14.00390625" style="642" customWidth="1"/>
    <col min="10" max="17" width="9.375" style="641" customWidth="1"/>
    <col min="18" max="16384" width="9.375" style="642" customWidth="1"/>
  </cols>
  <sheetData>
    <row r="1" spans="1:17" ht="12.75" customHeight="1">
      <c r="A1" s="640"/>
      <c r="B1" s="812" t="s">
        <v>79</v>
      </c>
      <c r="C1" s="812"/>
      <c r="D1" s="812"/>
      <c r="E1" s="812"/>
      <c r="F1" s="812" t="s">
        <v>80</v>
      </c>
      <c r="G1" s="812"/>
      <c r="H1" s="812"/>
      <c r="I1" s="812"/>
      <c r="Q1" s="642"/>
    </row>
    <row r="2" spans="1:16" s="648" customFormat="1" ht="42" customHeight="1">
      <c r="A2" s="643" t="s">
        <v>1129</v>
      </c>
      <c r="B2" s="644" t="s">
        <v>1130</v>
      </c>
      <c r="C2" s="645" t="s">
        <v>1131</v>
      </c>
      <c r="D2" s="645" t="s">
        <v>1132</v>
      </c>
      <c r="E2" s="646" t="s">
        <v>1133</v>
      </c>
      <c r="F2" s="644" t="s">
        <v>1130</v>
      </c>
      <c r="G2" s="645" t="s">
        <v>1131</v>
      </c>
      <c r="H2" s="645" t="s">
        <v>1132</v>
      </c>
      <c r="I2" s="646" t="s">
        <v>1133</v>
      </c>
      <c r="J2" s="647"/>
      <c r="K2" s="647"/>
      <c r="L2" s="647"/>
      <c r="M2" s="647"/>
      <c r="N2" s="647"/>
      <c r="O2" s="647"/>
      <c r="P2" s="647"/>
    </row>
    <row r="3" spans="1:17" ht="13.5" customHeight="1">
      <c r="A3" s="649" t="s">
        <v>1134</v>
      </c>
      <c r="B3" s="650"/>
      <c r="C3" s="650"/>
      <c r="D3" s="650"/>
      <c r="E3" s="650"/>
      <c r="F3" s="650"/>
      <c r="G3" s="650"/>
      <c r="H3" s="650"/>
      <c r="I3" s="650"/>
      <c r="P3" s="642"/>
      <c r="Q3" s="642"/>
    </row>
    <row r="4" spans="1:17" ht="13.5" customHeight="1">
      <c r="A4" s="651" t="s">
        <v>1135</v>
      </c>
      <c r="B4" s="652">
        <v>1709</v>
      </c>
      <c r="C4" s="653">
        <v>138.4</v>
      </c>
      <c r="D4" s="652">
        <v>1566667</v>
      </c>
      <c r="E4" s="652">
        <f>SUM(C4*D4)/1000</f>
        <v>216826.7128</v>
      </c>
      <c r="F4" s="652">
        <v>1709</v>
      </c>
      <c r="G4" s="653">
        <v>138.4</v>
      </c>
      <c r="H4" s="652">
        <v>1566667</v>
      </c>
      <c r="I4" s="652">
        <f>SUM(G4*H4)/1000</f>
        <v>216826.7128</v>
      </c>
      <c r="P4" s="642"/>
      <c r="Q4" s="642"/>
    </row>
    <row r="5" spans="1:17" ht="13.5" customHeight="1">
      <c r="A5" s="651" t="s">
        <v>1136</v>
      </c>
      <c r="B5" s="652">
        <v>1727</v>
      </c>
      <c r="C5" s="653">
        <v>139.9</v>
      </c>
      <c r="D5" s="652">
        <v>783333</v>
      </c>
      <c r="E5" s="652">
        <f>SUM(C5*D5)/1000</f>
        <v>109588.2867</v>
      </c>
      <c r="F5" s="652">
        <v>1727</v>
      </c>
      <c r="G5" s="653">
        <v>139.9</v>
      </c>
      <c r="H5" s="652">
        <v>783333</v>
      </c>
      <c r="I5" s="652">
        <f>SUM(G5*H5)/1000</f>
        <v>109588.2867</v>
      </c>
      <c r="P5" s="642"/>
      <c r="Q5" s="642"/>
    </row>
    <row r="6" spans="1:17" ht="13.5" customHeight="1">
      <c r="A6" s="654" t="s">
        <v>1221</v>
      </c>
      <c r="B6" s="652"/>
      <c r="C6" s="653"/>
      <c r="D6" s="652"/>
      <c r="E6" s="652"/>
      <c r="F6" s="652"/>
      <c r="G6" s="653"/>
      <c r="H6" s="652"/>
      <c r="I6" s="652"/>
      <c r="P6" s="642"/>
      <c r="Q6" s="642"/>
    </row>
    <row r="7" spans="1:17" ht="13.5" customHeight="1">
      <c r="A7" s="654" t="s">
        <v>1222</v>
      </c>
      <c r="B7" s="652"/>
      <c r="C7" s="653"/>
      <c r="D7" s="652"/>
      <c r="E7" s="652"/>
      <c r="F7" s="652"/>
      <c r="G7" s="653"/>
      <c r="H7" s="652"/>
      <c r="I7" s="652"/>
      <c r="P7" s="642"/>
      <c r="Q7" s="642"/>
    </row>
    <row r="8" spans="1:17" ht="13.5" customHeight="1">
      <c r="A8" s="651" t="s">
        <v>1223</v>
      </c>
      <c r="B8" s="652">
        <v>1045</v>
      </c>
      <c r="C8" s="655">
        <v>59.7</v>
      </c>
      <c r="D8" s="652">
        <v>1566667</v>
      </c>
      <c r="E8" s="652">
        <f aca="true" t="shared" si="0" ref="E8:E17">SUM(C8*D8)/1000</f>
        <v>93530.0199</v>
      </c>
      <c r="F8" s="652">
        <v>1045</v>
      </c>
      <c r="G8" s="655">
        <v>59.7</v>
      </c>
      <c r="H8" s="652">
        <v>1566667</v>
      </c>
      <c r="I8" s="652">
        <f aca="true" t="shared" si="1" ref="I8:I17">SUM(G8*H8)/1000</f>
        <v>93530.0199</v>
      </c>
      <c r="P8" s="642"/>
      <c r="Q8" s="642"/>
    </row>
    <row r="9" spans="1:17" ht="13.5" customHeight="1">
      <c r="A9" s="651" t="s">
        <v>1136</v>
      </c>
      <c r="B9" s="652">
        <v>1054</v>
      </c>
      <c r="C9" s="655">
        <v>60.2</v>
      </c>
      <c r="D9" s="652">
        <v>783333</v>
      </c>
      <c r="E9" s="652">
        <f t="shared" si="0"/>
        <v>47156.6466</v>
      </c>
      <c r="F9" s="652">
        <v>1054</v>
      </c>
      <c r="G9" s="655">
        <v>60.2</v>
      </c>
      <c r="H9" s="652">
        <v>783333</v>
      </c>
      <c r="I9" s="652">
        <f t="shared" si="1"/>
        <v>47156.6466</v>
      </c>
      <c r="P9" s="642"/>
      <c r="Q9" s="642"/>
    </row>
    <row r="10" spans="1:17" ht="13.5" customHeight="1">
      <c r="A10" s="651" t="s">
        <v>1224</v>
      </c>
      <c r="B10" s="652">
        <v>496</v>
      </c>
      <c r="C10" s="653">
        <v>28.8</v>
      </c>
      <c r="D10" s="652">
        <v>1566667</v>
      </c>
      <c r="E10" s="652">
        <f t="shared" si="0"/>
        <v>45120.009600000005</v>
      </c>
      <c r="F10" s="652">
        <v>496</v>
      </c>
      <c r="G10" s="653">
        <v>28.8</v>
      </c>
      <c r="H10" s="652">
        <v>1566667</v>
      </c>
      <c r="I10" s="652">
        <f t="shared" si="1"/>
        <v>45120.009600000005</v>
      </c>
      <c r="P10" s="642"/>
      <c r="Q10" s="642"/>
    </row>
    <row r="11" spans="1:17" ht="13.5" customHeight="1">
      <c r="A11" s="651" t="s">
        <v>1136</v>
      </c>
      <c r="B11" s="652">
        <v>500</v>
      </c>
      <c r="C11" s="653">
        <v>29</v>
      </c>
      <c r="D11" s="652">
        <v>783333</v>
      </c>
      <c r="E11" s="652">
        <f t="shared" si="0"/>
        <v>22716.657</v>
      </c>
      <c r="F11" s="652">
        <v>500</v>
      </c>
      <c r="G11" s="653">
        <v>29</v>
      </c>
      <c r="H11" s="652">
        <v>783333</v>
      </c>
      <c r="I11" s="652">
        <f t="shared" si="1"/>
        <v>22716.657</v>
      </c>
      <c r="P11" s="642"/>
      <c r="Q11" s="642"/>
    </row>
    <row r="12" spans="1:17" ht="13.5" customHeight="1">
      <c r="A12" s="651" t="s">
        <v>1225</v>
      </c>
      <c r="B12" s="652">
        <v>494</v>
      </c>
      <c r="C12" s="653">
        <v>32.7</v>
      </c>
      <c r="D12" s="652">
        <v>1566667</v>
      </c>
      <c r="E12" s="652">
        <f t="shared" si="0"/>
        <v>51230.01090000001</v>
      </c>
      <c r="F12" s="652">
        <v>494</v>
      </c>
      <c r="G12" s="653">
        <v>32.7</v>
      </c>
      <c r="H12" s="652">
        <v>1566667</v>
      </c>
      <c r="I12" s="652">
        <f t="shared" si="1"/>
        <v>51230.01090000001</v>
      </c>
      <c r="P12" s="642"/>
      <c r="Q12" s="642"/>
    </row>
    <row r="13" spans="1:17" ht="13.5" customHeight="1">
      <c r="A13" s="651" t="s">
        <v>1136</v>
      </c>
      <c r="B13" s="652">
        <v>500</v>
      </c>
      <c r="C13" s="653">
        <v>33.1</v>
      </c>
      <c r="D13" s="652">
        <v>783333</v>
      </c>
      <c r="E13" s="652">
        <f t="shared" si="0"/>
        <v>25928.3223</v>
      </c>
      <c r="F13" s="652">
        <v>500</v>
      </c>
      <c r="G13" s="653">
        <v>33.1</v>
      </c>
      <c r="H13" s="652">
        <v>783333</v>
      </c>
      <c r="I13" s="652">
        <f t="shared" si="1"/>
        <v>25928.3223</v>
      </c>
      <c r="P13" s="642"/>
      <c r="Q13" s="642"/>
    </row>
    <row r="14" spans="1:17" ht="13.5" customHeight="1">
      <c r="A14" s="651" t="s">
        <v>1226</v>
      </c>
      <c r="B14" s="652">
        <v>1010</v>
      </c>
      <c r="C14" s="653">
        <v>68.1</v>
      </c>
      <c r="D14" s="652">
        <v>1566667</v>
      </c>
      <c r="E14" s="652">
        <f t="shared" si="0"/>
        <v>106690.02269999999</v>
      </c>
      <c r="F14" s="652">
        <v>1010</v>
      </c>
      <c r="G14" s="653">
        <v>68.1</v>
      </c>
      <c r="H14" s="652">
        <v>1566667</v>
      </c>
      <c r="I14" s="652">
        <f t="shared" si="1"/>
        <v>106690.02269999999</v>
      </c>
      <c r="P14" s="642"/>
      <c r="Q14" s="642"/>
    </row>
    <row r="15" spans="1:17" ht="13.5" customHeight="1">
      <c r="A15" s="651" t="s">
        <v>1136</v>
      </c>
      <c r="B15" s="652">
        <v>1022</v>
      </c>
      <c r="C15" s="653">
        <v>68.9</v>
      </c>
      <c r="D15" s="652">
        <v>783333</v>
      </c>
      <c r="E15" s="652">
        <f t="shared" si="0"/>
        <v>53971.6437</v>
      </c>
      <c r="F15" s="652">
        <v>1022</v>
      </c>
      <c r="G15" s="653">
        <v>68.9</v>
      </c>
      <c r="H15" s="652">
        <v>783333</v>
      </c>
      <c r="I15" s="652">
        <f t="shared" si="1"/>
        <v>53971.6437</v>
      </c>
      <c r="P15" s="642"/>
      <c r="Q15" s="642"/>
    </row>
    <row r="16" spans="1:17" ht="13.5" customHeight="1">
      <c r="A16" s="651" t="s">
        <v>1227</v>
      </c>
      <c r="B16" s="652">
        <v>1077</v>
      </c>
      <c r="C16" s="653">
        <v>82.4</v>
      </c>
      <c r="D16" s="652">
        <v>1566667</v>
      </c>
      <c r="E16" s="652">
        <f t="shared" si="0"/>
        <v>129093.36080000001</v>
      </c>
      <c r="F16" s="652">
        <v>1077</v>
      </c>
      <c r="G16" s="653">
        <v>82.4</v>
      </c>
      <c r="H16" s="652">
        <v>1566667</v>
      </c>
      <c r="I16" s="652">
        <f t="shared" si="1"/>
        <v>129093.36080000001</v>
      </c>
      <c r="P16" s="642"/>
      <c r="Q16" s="642"/>
    </row>
    <row r="17" spans="1:17" ht="13.5" customHeight="1">
      <c r="A17" s="651" t="s">
        <v>1136</v>
      </c>
      <c r="B17" s="652">
        <v>1065</v>
      </c>
      <c r="C17" s="653">
        <v>81.5</v>
      </c>
      <c r="D17" s="652">
        <v>783333</v>
      </c>
      <c r="E17" s="652">
        <f t="shared" si="0"/>
        <v>63841.6395</v>
      </c>
      <c r="F17" s="652">
        <v>1065</v>
      </c>
      <c r="G17" s="653">
        <v>81.5</v>
      </c>
      <c r="H17" s="652">
        <v>783333</v>
      </c>
      <c r="I17" s="652">
        <f t="shared" si="1"/>
        <v>63841.6395</v>
      </c>
      <c r="P17" s="642"/>
      <c r="Q17" s="642"/>
    </row>
    <row r="18" spans="1:17" ht="13.5" customHeight="1">
      <c r="A18" s="656" t="s">
        <v>1228</v>
      </c>
      <c r="B18" s="652"/>
      <c r="C18" s="653"/>
      <c r="D18" s="652"/>
      <c r="E18" s="652"/>
      <c r="F18" s="652"/>
      <c r="G18" s="653"/>
      <c r="H18" s="652"/>
      <c r="I18" s="652"/>
      <c r="P18" s="642"/>
      <c r="Q18" s="642"/>
    </row>
    <row r="19" spans="1:17" ht="13.5" customHeight="1">
      <c r="A19" s="651" t="s">
        <v>1229</v>
      </c>
      <c r="B19" s="652">
        <v>2443</v>
      </c>
      <c r="C19" s="653">
        <v>203.3</v>
      </c>
      <c r="D19" s="652">
        <v>1566667</v>
      </c>
      <c r="E19" s="652">
        <f>SUM(C19*D19)/1000</f>
        <v>318503.4011</v>
      </c>
      <c r="F19" s="652">
        <v>2443</v>
      </c>
      <c r="G19" s="653">
        <v>203.3</v>
      </c>
      <c r="H19" s="652">
        <v>1566667</v>
      </c>
      <c r="I19" s="652">
        <f>SUM(G19*H19)/1000</f>
        <v>318503.4011</v>
      </c>
      <c r="P19" s="642"/>
      <c r="Q19" s="642"/>
    </row>
    <row r="20" spans="1:17" ht="13.5" customHeight="1">
      <c r="A20" s="651" t="s">
        <v>1230</v>
      </c>
      <c r="B20" s="652">
        <v>2240</v>
      </c>
      <c r="C20" s="653">
        <v>186.4</v>
      </c>
      <c r="D20" s="652">
        <v>783333</v>
      </c>
      <c r="E20" s="652">
        <f>SUM(C20*D20)/1000</f>
        <v>146013.27120000002</v>
      </c>
      <c r="F20" s="652">
        <v>2240</v>
      </c>
      <c r="G20" s="653">
        <v>186.4</v>
      </c>
      <c r="H20" s="652">
        <v>783333</v>
      </c>
      <c r="I20" s="652">
        <f>SUM(G20*H20)/1000</f>
        <v>146013.27120000002</v>
      </c>
      <c r="P20" s="642"/>
      <c r="Q20" s="642"/>
    </row>
    <row r="21" spans="1:17" ht="13.5" customHeight="1">
      <c r="A21" s="651" t="s">
        <v>1231</v>
      </c>
      <c r="B21" s="652">
        <v>2247</v>
      </c>
      <c r="C21" s="653">
        <v>221.5</v>
      </c>
      <c r="D21" s="652">
        <v>1566667</v>
      </c>
      <c r="E21" s="652">
        <f>SUM(C21*D21)/1000</f>
        <v>347016.7405</v>
      </c>
      <c r="F21" s="652">
        <v>2247</v>
      </c>
      <c r="G21" s="653">
        <v>221.5</v>
      </c>
      <c r="H21" s="652">
        <v>1566667</v>
      </c>
      <c r="I21" s="652">
        <f>SUM(G21*H21)/1000</f>
        <v>347016.7405</v>
      </c>
      <c r="P21" s="642"/>
      <c r="Q21" s="642"/>
    </row>
    <row r="22" spans="1:17" ht="13.5" customHeight="1">
      <c r="A22" s="651" t="s">
        <v>1136</v>
      </c>
      <c r="B22" s="652">
        <v>2228</v>
      </c>
      <c r="C22" s="653">
        <v>219.6</v>
      </c>
      <c r="D22" s="652">
        <v>783333</v>
      </c>
      <c r="E22" s="652">
        <f>SUM(C22*D22)/1000</f>
        <v>172019.9268</v>
      </c>
      <c r="F22" s="652">
        <v>2228</v>
      </c>
      <c r="G22" s="653">
        <v>219.6</v>
      </c>
      <c r="H22" s="652">
        <v>783333</v>
      </c>
      <c r="I22" s="652">
        <f>SUM(G22*H22)/1000</f>
        <v>172019.9268</v>
      </c>
      <c r="P22" s="642"/>
      <c r="Q22" s="642"/>
    </row>
    <row r="23" spans="1:17" ht="24.75" customHeight="1">
      <c r="A23" s="654" t="s">
        <v>1232</v>
      </c>
      <c r="B23" s="652"/>
      <c r="C23" s="653"/>
      <c r="D23" s="652"/>
      <c r="E23" s="652"/>
      <c r="F23" s="652"/>
      <c r="G23" s="653"/>
      <c r="H23" s="652"/>
      <c r="I23" s="652"/>
      <c r="P23" s="642"/>
      <c r="Q23" s="642"/>
    </row>
    <row r="24" spans="1:17" ht="13.5" customHeight="1">
      <c r="A24" s="651" t="s">
        <v>1135</v>
      </c>
      <c r="B24" s="652">
        <v>1601</v>
      </c>
      <c r="C24" s="653">
        <v>116.1</v>
      </c>
      <c r="D24" s="652">
        <v>1566667</v>
      </c>
      <c r="E24" s="652">
        <f>SUM(C24*D24)/1000</f>
        <v>181890.03869999998</v>
      </c>
      <c r="F24" s="652">
        <v>1601</v>
      </c>
      <c r="G24" s="653">
        <v>116.1</v>
      </c>
      <c r="H24" s="652">
        <v>1566667</v>
      </c>
      <c r="I24" s="652">
        <f>SUM(G24*H24)/1000</f>
        <v>181890.03869999998</v>
      </c>
      <c r="P24" s="642"/>
      <c r="Q24" s="642"/>
    </row>
    <row r="25" spans="1:17" ht="13.5" customHeight="1">
      <c r="A25" s="651" t="s">
        <v>1136</v>
      </c>
      <c r="B25" s="652">
        <v>1731</v>
      </c>
      <c r="C25" s="653">
        <v>125.5</v>
      </c>
      <c r="D25" s="652">
        <v>783333</v>
      </c>
      <c r="E25" s="652">
        <f>SUM(C25*D25)/1000</f>
        <v>98308.2915</v>
      </c>
      <c r="F25" s="652">
        <v>1731</v>
      </c>
      <c r="G25" s="653">
        <v>125.5</v>
      </c>
      <c r="H25" s="652">
        <v>783333</v>
      </c>
      <c r="I25" s="652">
        <f>SUM(G25*H25)/1000</f>
        <v>98308.2915</v>
      </c>
      <c r="P25" s="642"/>
      <c r="Q25" s="642"/>
    </row>
    <row r="26" spans="1:17" ht="13.5" customHeight="1">
      <c r="A26" s="654" t="s">
        <v>1233</v>
      </c>
      <c r="B26" s="652"/>
      <c r="C26" s="653"/>
      <c r="D26" s="652"/>
      <c r="E26" s="652"/>
      <c r="F26" s="652"/>
      <c r="G26" s="653"/>
      <c r="H26" s="652"/>
      <c r="I26" s="652"/>
      <c r="P26" s="642"/>
      <c r="Q26" s="642"/>
    </row>
    <row r="27" spans="1:17" ht="24.75" customHeight="1">
      <c r="A27" s="654" t="s">
        <v>1234</v>
      </c>
      <c r="B27" s="657"/>
      <c r="C27" s="658"/>
      <c r="D27" s="652"/>
      <c r="E27" s="652"/>
      <c r="F27" s="657"/>
      <c r="G27" s="658"/>
      <c r="H27" s="652"/>
      <c r="I27" s="652"/>
      <c r="P27" s="642"/>
      <c r="Q27" s="642"/>
    </row>
    <row r="28" spans="1:17" ht="13.5" customHeight="1">
      <c r="A28" s="651" t="s">
        <v>1135</v>
      </c>
      <c r="B28" s="657">
        <v>116</v>
      </c>
      <c r="C28" s="658"/>
      <c r="D28" s="652">
        <v>65333</v>
      </c>
      <c r="E28" s="652">
        <f>SUM(B28*D28)/1000</f>
        <v>7578.628</v>
      </c>
      <c r="F28" s="657">
        <v>116</v>
      </c>
      <c r="G28" s="658"/>
      <c r="H28" s="652">
        <v>65333</v>
      </c>
      <c r="I28" s="652">
        <f>SUM(F28*H28)/1000</f>
        <v>7578.628</v>
      </c>
      <c r="P28" s="642"/>
      <c r="Q28" s="642"/>
    </row>
    <row r="29" spans="1:17" ht="13.5" customHeight="1">
      <c r="A29" s="651" t="s">
        <v>1136</v>
      </c>
      <c r="B29" s="657">
        <v>118</v>
      </c>
      <c r="C29" s="658"/>
      <c r="D29" s="652">
        <v>32667</v>
      </c>
      <c r="E29" s="652">
        <f>SUM(B29*D29)/1000</f>
        <v>3854.706</v>
      </c>
      <c r="F29" s="657">
        <v>118</v>
      </c>
      <c r="G29" s="658"/>
      <c r="H29" s="652">
        <v>32667</v>
      </c>
      <c r="I29" s="652">
        <f>SUM(F29*H29)/1000</f>
        <v>3854.706</v>
      </c>
      <c r="P29" s="642"/>
      <c r="Q29" s="642"/>
    </row>
    <row r="30" spans="1:17" ht="19.5" customHeight="1">
      <c r="A30" s="654" t="s">
        <v>1235</v>
      </c>
      <c r="B30" s="657"/>
      <c r="C30" s="658"/>
      <c r="D30" s="652"/>
      <c r="E30" s="652"/>
      <c r="F30" s="657"/>
      <c r="G30" s="658"/>
      <c r="H30" s="652"/>
      <c r="I30" s="652"/>
      <c r="P30" s="642"/>
      <c r="Q30" s="642"/>
    </row>
    <row r="31" spans="1:17" ht="13.5" customHeight="1">
      <c r="A31" s="651" t="s">
        <v>1135</v>
      </c>
      <c r="B31" s="657">
        <v>502</v>
      </c>
      <c r="C31" s="658"/>
      <c r="D31" s="652">
        <v>91467</v>
      </c>
      <c r="E31" s="652">
        <f>SUM(B31*D31)/1000</f>
        <v>45916.434</v>
      </c>
      <c r="F31" s="657">
        <v>502</v>
      </c>
      <c r="G31" s="658"/>
      <c r="H31" s="652">
        <v>91467</v>
      </c>
      <c r="I31" s="652">
        <f>SUM(F31*H31)/1000</f>
        <v>45916.434</v>
      </c>
      <c r="P31" s="642"/>
      <c r="Q31" s="642"/>
    </row>
    <row r="32" spans="1:17" ht="13.5" customHeight="1">
      <c r="A32" s="651" t="s">
        <v>1136</v>
      </c>
      <c r="B32" s="657">
        <v>629</v>
      </c>
      <c r="C32" s="658"/>
      <c r="D32" s="652">
        <v>45733</v>
      </c>
      <c r="E32" s="652">
        <f>SUM(B32*D32)/1000</f>
        <v>28766.057</v>
      </c>
      <c r="F32" s="657">
        <v>629</v>
      </c>
      <c r="G32" s="658"/>
      <c r="H32" s="652">
        <v>45733</v>
      </c>
      <c r="I32" s="652">
        <f>SUM(F32*H32)/1000</f>
        <v>28766.057</v>
      </c>
      <c r="P32" s="642"/>
      <c r="Q32" s="642"/>
    </row>
    <row r="33" spans="1:15" s="660" customFormat="1" ht="24.75" customHeight="1">
      <c r="A33" s="654" t="s">
        <v>1236</v>
      </c>
      <c r="B33" s="657"/>
      <c r="C33" s="658"/>
      <c r="D33" s="652"/>
      <c r="E33" s="652"/>
      <c r="F33" s="657"/>
      <c r="G33" s="658"/>
      <c r="H33" s="652"/>
      <c r="I33" s="652"/>
      <c r="J33" s="659"/>
      <c r="K33" s="659"/>
      <c r="L33" s="659"/>
      <c r="M33" s="659"/>
      <c r="N33" s="659"/>
      <c r="O33" s="659"/>
    </row>
    <row r="34" spans="1:15" s="660" customFormat="1" ht="13.5" customHeight="1">
      <c r="A34" s="651" t="s">
        <v>1135</v>
      </c>
      <c r="B34" s="657">
        <v>261</v>
      </c>
      <c r="C34" s="658"/>
      <c r="D34" s="652">
        <v>39200</v>
      </c>
      <c r="E34" s="652">
        <f>SUM(B34*D34)/1000</f>
        <v>10231.2</v>
      </c>
      <c r="F34" s="657">
        <v>261</v>
      </c>
      <c r="G34" s="658"/>
      <c r="H34" s="652">
        <v>39200</v>
      </c>
      <c r="I34" s="652">
        <f>SUM(F34*H34)/1000</f>
        <v>10231.2</v>
      </c>
      <c r="J34" s="659"/>
      <c r="K34" s="659"/>
      <c r="L34" s="659"/>
      <c r="M34" s="659"/>
      <c r="N34" s="659"/>
      <c r="O34" s="659"/>
    </row>
    <row r="35" spans="1:15" s="660" customFormat="1" ht="13.5" customHeight="1">
      <c r="A35" s="651" t="s">
        <v>1136</v>
      </c>
      <c r="B35" s="657">
        <v>259</v>
      </c>
      <c r="C35" s="658"/>
      <c r="D35" s="652">
        <v>19600</v>
      </c>
      <c r="E35" s="652">
        <f>SUM(B35*D35)/1000</f>
        <v>5076.4</v>
      </c>
      <c r="F35" s="657">
        <v>259</v>
      </c>
      <c r="G35" s="658"/>
      <c r="H35" s="652">
        <v>19600</v>
      </c>
      <c r="I35" s="652">
        <f>SUM(F35*H35)/1000</f>
        <v>5076.4</v>
      </c>
      <c r="J35" s="659"/>
      <c r="K35" s="659"/>
      <c r="L35" s="659"/>
      <c r="M35" s="659"/>
      <c r="N35" s="659"/>
      <c r="O35" s="659"/>
    </row>
    <row r="36" spans="1:15" s="660" customFormat="1" ht="13.5" customHeight="1">
      <c r="A36" s="654" t="s">
        <v>1237</v>
      </c>
      <c r="B36" s="657"/>
      <c r="C36" s="658"/>
      <c r="D36" s="652"/>
      <c r="E36" s="652"/>
      <c r="F36" s="657"/>
      <c r="G36" s="658"/>
      <c r="H36" s="652"/>
      <c r="I36" s="652"/>
      <c r="J36" s="659"/>
      <c r="K36" s="659"/>
      <c r="L36" s="659"/>
      <c r="M36" s="659"/>
      <c r="N36" s="659"/>
      <c r="O36" s="659"/>
    </row>
    <row r="37" spans="1:15" s="660" customFormat="1" ht="13.5" customHeight="1">
      <c r="A37" s="651" t="s">
        <v>1135</v>
      </c>
      <c r="B37" s="652">
        <v>702</v>
      </c>
      <c r="C37" s="652"/>
      <c r="D37" s="652">
        <v>13067</v>
      </c>
      <c r="E37" s="652">
        <f>SUM(B37*D37)/1000</f>
        <v>9173.034</v>
      </c>
      <c r="F37" s="652">
        <v>702</v>
      </c>
      <c r="G37" s="652"/>
      <c r="H37" s="652">
        <v>13067</v>
      </c>
      <c r="I37" s="652">
        <f>SUM(F37*H37)/1000</f>
        <v>9173.034</v>
      </c>
      <c r="J37" s="659"/>
      <c r="K37" s="659"/>
      <c r="L37" s="659"/>
      <c r="M37" s="659"/>
      <c r="N37" s="659"/>
      <c r="O37" s="659"/>
    </row>
    <row r="38" spans="1:15" s="660" customFormat="1" ht="13.5" customHeight="1">
      <c r="A38" s="651" t="s">
        <v>1136</v>
      </c>
      <c r="B38" s="652">
        <v>709</v>
      </c>
      <c r="C38" s="652"/>
      <c r="D38" s="652">
        <v>6533</v>
      </c>
      <c r="E38" s="652">
        <f>SUM(B38*D38)/1000</f>
        <v>4631.897</v>
      </c>
      <c r="F38" s="652">
        <v>709</v>
      </c>
      <c r="G38" s="652"/>
      <c r="H38" s="652">
        <v>6533</v>
      </c>
      <c r="I38" s="652">
        <f>SUM(F38*H38)/1000</f>
        <v>4631.897</v>
      </c>
      <c r="J38" s="659"/>
      <c r="K38" s="659"/>
      <c r="L38" s="659"/>
      <c r="M38" s="659"/>
      <c r="N38" s="659"/>
      <c r="O38" s="659"/>
    </row>
    <row r="39" spans="1:15" s="660" customFormat="1" ht="24.75" customHeight="1">
      <c r="A39" s="654" t="s">
        <v>1238</v>
      </c>
      <c r="B39" s="657"/>
      <c r="C39" s="658"/>
      <c r="D39" s="652"/>
      <c r="E39" s="652"/>
      <c r="F39" s="657"/>
      <c r="G39" s="658"/>
      <c r="H39" s="652"/>
      <c r="I39" s="652"/>
      <c r="J39" s="659"/>
      <c r="K39" s="659"/>
      <c r="L39" s="659"/>
      <c r="M39" s="659"/>
      <c r="N39" s="659"/>
      <c r="O39" s="659"/>
    </row>
    <row r="40" spans="1:15" s="660" customFormat="1" ht="17.25" customHeight="1">
      <c r="A40" s="651" t="s">
        <v>1135</v>
      </c>
      <c r="B40" s="652">
        <v>298</v>
      </c>
      <c r="C40" s="652"/>
      <c r="D40" s="652">
        <v>23333</v>
      </c>
      <c r="E40" s="652">
        <f>SUM(B40*D40)/1000</f>
        <v>6953.234</v>
      </c>
      <c r="F40" s="652">
        <v>298</v>
      </c>
      <c r="G40" s="652"/>
      <c r="H40" s="652">
        <v>23333</v>
      </c>
      <c r="I40" s="652">
        <f>SUM(F40*H40)/1000</f>
        <v>6953.234</v>
      </c>
      <c r="J40" s="659"/>
      <c r="K40" s="659"/>
      <c r="L40" s="659"/>
      <c r="M40" s="659"/>
      <c r="N40" s="659"/>
      <c r="O40" s="659"/>
    </row>
    <row r="41" spans="1:15" s="660" customFormat="1" ht="17.25" customHeight="1">
      <c r="A41" s="651" t="s">
        <v>1136</v>
      </c>
      <c r="B41" s="652">
        <v>136</v>
      </c>
      <c r="C41" s="652"/>
      <c r="D41" s="652">
        <v>11667</v>
      </c>
      <c r="E41" s="652">
        <f>SUM(B41*D41)/1000</f>
        <v>1586.712</v>
      </c>
      <c r="F41" s="652">
        <v>136</v>
      </c>
      <c r="G41" s="652"/>
      <c r="H41" s="652">
        <v>11667</v>
      </c>
      <c r="I41" s="652">
        <f>SUM(F41*H41)/1000</f>
        <v>1586.712</v>
      </c>
      <c r="J41" s="659"/>
      <c r="K41" s="659"/>
      <c r="L41" s="659"/>
      <c r="M41" s="659"/>
      <c r="N41" s="659"/>
      <c r="O41" s="659"/>
    </row>
    <row r="42" spans="1:17" ht="13.5" customHeight="1">
      <c r="A42" s="654" t="s">
        <v>1239</v>
      </c>
      <c r="B42" s="652"/>
      <c r="C42" s="653"/>
      <c r="D42" s="652"/>
      <c r="E42" s="652"/>
      <c r="F42" s="652"/>
      <c r="G42" s="653"/>
      <c r="H42" s="652"/>
      <c r="I42" s="652"/>
      <c r="P42" s="642"/>
      <c r="Q42" s="642"/>
    </row>
    <row r="43" spans="1:17" ht="16.5" customHeight="1">
      <c r="A43" s="654" t="s">
        <v>1240</v>
      </c>
      <c r="B43" s="652"/>
      <c r="C43" s="652"/>
      <c r="D43" s="652"/>
      <c r="E43" s="652"/>
      <c r="F43" s="652"/>
      <c r="G43" s="652"/>
      <c r="H43" s="652"/>
      <c r="I43" s="652"/>
      <c r="P43" s="642"/>
      <c r="Q43" s="642"/>
    </row>
    <row r="44" spans="1:17" ht="13.5" customHeight="1">
      <c r="A44" s="651" t="s">
        <v>1135</v>
      </c>
      <c r="B44" s="652">
        <v>13</v>
      </c>
      <c r="C44" s="652"/>
      <c r="D44" s="652">
        <v>149333</v>
      </c>
      <c r="E44" s="652">
        <f>SUM(B44*D44)/1000</f>
        <v>1941.329</v>
      </c>
      <c r="F44" s="652">
        <v>13</v>
      </c>
      <c r="G44" s="652"/>
      <c r="H44" s="652">
        <v>149333</v>
      </c>
      <c r="I44" s="652">
        <f>SUM(F44*H44)/1000</f>
        <v>1941.329</v>
      </c>
      <c r="P44" s="642"/>
      <c r="Q44" s="642"/>
    </row>
    <row r="45" spans="1:17" ht="13.5" customHeight="1">
      <c r="A45" s="651" t="s">
        <v>1136</v>
      </c>
      <c r="B45" s="652">
        <v>12</v>
      </c>
      <c r="C45" s="652"/>
      <c r="D45" s="652">
        <v>74667</v>
      </c>
      <c r="E45" s="652">
        <f>SUM(B45*D45)/1000</f>
        <v>896.004</v>
      </c>
      <c r="F45" s="652">
        <v>12</v>
      </c>
      <c r="G45" s="652"/>
      <c r="H45" s="652">
        <v>74667</v>
      </c>
      <c r="I45" s="652">
        <f>SUM(F45*H45)/1000</f>
        <v>896.004</v>
      </c>
      <c r="P45" s="642"/>
      <c r="Q45" s="642"/>
    </row>
    <row r="46" spans="1:17" ht="13.5" customHeight="1">
      <c r="A46" s="654" t="s">
        <v>1241</v>
      </c>
      <c r="B46" s="652"/>
      <c r="C46" s="652"/>
      <c r="D46" s="652"/>
      <c r="E46" s="652"/>
      <c r="F46" s="652"/>
      <c r="G46" s="652"/>
      <c r="H46" s="652"/>
      <c r="I46" s="652"/>
      <c r="P46" s="642"/>
      <c r="Q46" s="642"/>
    </row>
    <row r="47" spans="1:17" ht="13.5" customHeight="1">
      <c r="A47" s="651" t="s">
        <v>1135</v>
      </c>
      <c r="B47" s="652">
        <v>66</v>
      </c>
      <c r="C47" s="652"/>
      <c r="D47" s="652">
        <v>238933</v>
      </c>
      <c r="E47" s="652">
        <f>SUM(B47*D47)/1000</f>
        <v>15769.578</v>
      </c>
      <c r="F47" s="652">
        <v>66</v>
      </c>
      <c r="G47" s="652"/>
      <c r="H47" s="652">
        <v>238933</v>
      </c>
      <c r="I47" s="652">
        <f>SUM(F47*H47)/1000</f>
        <v>15769.578</v>
      </c>
      <c r="P47" s="642"/>
      <c r="Q47" s="642"/>
    </row>
    <row r="48" spans="1:17" ht="13.5" customHeight="1">
      <c r="A48" s="651" t="s">
        <v>1136</v>
      </c>
      <c r="B48" s="652">
        <v>54</v>
      </c>
      <c r="C48" s="652"/>
      <c r="D48" s="652">
        <v>119467</v>
      </c>
      <c r="E48" s="652">
        <f>SUM(B48*D48)/1000</f>
        <v>6451.218</v>
      </c>
      <c r="F48" s="652">
        <v>54</v>
      </c>
      <c r="G48" s="652"/>
      <c r="H48" s="652">
        <v>119467</v>
      </c>
      <c r="I48" s="652">
        <f>SUM(F48*H48)/1000</f>
        <v>6451.218</v>
      </c>
      <c r="P48" s="642"/>
      <c r="Q48" s="642"/>
    </row>
    <row r="49" spans="1:17" ht="30" customHeight="1">
      <c r="A49" s="654" t="s">
        <v>1242</v>
      </c>
      <c r="B49" s="652"/>
      <c r="C49" s="652"/>
      <c r="D49" s="652"/>
      <c r="E49" s="652"/>
      <c r="F49" s="652"/>
      <c r="G49" s="652"/>
      <c r="H49" s="652"/>
      <c r="I49" s="652"/>
      <c r="P49" s="642"/>
      <c r="Q49" s="642"/>
    </row>
    <row r="50" spans="1:17" ht="13.5" customHeight="1">
      <c r="A50" s="651" t="s">
        <v>1135</v>
      </c>
      <c r="B50" s="652">
        <v>203</v>
      </c>
      <c r="C50" s="652"/>
      <c r="D50" s="652">
        <v>119467</v>
      </c>
      <c r="E50" s="652">
        <f>SUM(B50*D50)/1000</f>
        <v>24251.801</v>
      </c>
      <c r="F50" s="652">
        <v>203</v>
      </c>
      <c r="G50" s="652"/>
      <c r="H50" s="652">
        <v>119467</v>
      </c>
      <c r="I50" s="652">
        <f>SUM(F50*H50)/1000</f>
        <v>24251.801</v>
      </c>
      <c r="P50" s="642"/>
      <c r="Q50" s="642"/>
    </row>
    <row r="51" spans="1:17" ht="13.5" customHeight="1">
      <c r="A51" s="651" t="s">
        <v>1136</v>
      </c>
      <c r="B51" s="652">
        <v>192</v>
      </c>
      <c r="C51" s="652"/>
      <c r="D51" s="652">
        <v>59733</v>
      </c>
      <c r="E51" s="652">
        <f>SUM(B51*D51)/1000</f>
        <v>11468.736</v>
      </c>
      <c r="F51" s="652">
        <v>192</v>
      </c>
      <c r="G51" s="652"/>
      <c r="H51" s="652">
        <v>59733</v>
      </c>
      <c r="I51" s="652">
        <f>SUM(F51*H51)/1000</f>
        <v>11468.736</v>
      </c>
      <c r="P51" s="642"/>
      <c r="Q51" s="642"/>
    </row>
    <row r="52" spans="1:17" ht="24.75" customHeight="1">
      <c r="A52" s="654" t="s">
        <v>1243</v>
      </c>
      <c r="B52" s="652"/>
      <c r="C52" s="652"/>
      <c r="D52" s="652"/>
      <c r="E52" s="652"/>
      <c r="F52" s="652"/>
      <c r="G52" s="652"/>
      <c r="H52" s="652"/>
      <c r="I52" s="652"/>
      <c r="P52" s="642"/>
      <c r="Q52" s="642"/>
    </row>
    <row r="53" spans="1:17" ht="13.5" customHeight="1">
      <c r="A53" s="651" t="s">
        <v>1244</v>
      </c>
      <c r="B53" s="652">
        <v>283</v>
      </c>
      <c r="C53" s="652"/>
      <c r="D53" s="652">
        <v>104533</v>
      </c>
      <c r="E53" s="652">
        <f>SUM(B53*D53)/1000</f>
        <v>29582.839</v>
      </c>
      <c r="F53" s="652">
        <v>283</v>
      </c>
      <c r="G53" s="652"/>
      <c r="H53" s="652">
        <v>104533</v>
      </c>
      <c r="I53" s="652">
        <f>SUM(F53*H53)/1000</f>
        <v>29582.839</v>
      </c>
      <c r="P53" s="642"/>
      <c r="Q53" s="642"/>
    </row>
    <row r="54" spans="1:17" ht="13.5" customHeight="1">
      <c r="A54" s="651" t="s">
        <v>1136</v>
      </c>
      <c r="B54" s="652">
        <v>251</v>
      </c>
      <c r="C54" s="652"/>
      <c r="D54" s="652">
        <v>52267</v>
      </c>
      <c r="E54" s="652">
        <f>SUM(B54*D54)/1000</f>
        <v>13119.017</v>
      </c>
      <c r="F54" s="652">
        <v>251</v>
      </c>
      <c r="G54" s="652"/>
      <c r="H54" s="652">
        <v>52267</v>
      </c>
      <c r="I54" s="652">
        <f>SUM(F54*H54)/1000</f>
        <v>13119.017</v>
      </c>
      <c r="P54" s="642"/>
      <c r="Q54" s="642"/>
    </row>
    <row r="55" spans="1:17" ht="13.5" customHeight="1">
      <c r="A55" s="654" t="s">
        <v>1245</v>
      </c>
      <c r="B55" s="652"/>
      <c r="C55" s="652"/>
      <c r="D55" s="652"/>
      <c r="E55" s="652"/>
      <c r="F55" s="652"/>
      <c r="G55" s="652"/>
      <c r="H55" s="652"/>
      <c r="I55" s="652"/>
      <c r="P55" s="642"/>
      <c r="Q55" s="642"/>
    </row>
    <row r="56" spans="1:15" s="660" customFormat="1" ht="13.5" customHeight="1">
      <c r="A56" s="651" t="s">
        <v>1246</v>
      </c>
      <c r="B56" s="652"/>
      <c r="C56" s="661"/>
      <c r="D56" s="652"/>
      <c r="E56" s="652"/>
      <c r="F56" s="652"/>
      <c r="G56" s="661"/>
      <c r="H56" s="652"/>
      <c r="I56" s="652"/>
      <c r="J56" s="659"/>
      <c r="K56" s="659"/>
      <c r="L56" s="659"/>
      <c r="M56" s="659"/>
      <c r="N56" s="659"/>
      <c r="O56" s="659"/>
    </row>
    <row r="57" spans="1:15" s="660" customFormat="1" ht="13.5" customHeight="1">
      <c r="A57" s="651" t="s">
        <v>1247</v>
      </c>
      <c r="B57" s="652"/>
      <c r="C57" s="661"/>
      <c r="D57" s="652"/>
      <c r="E57" s="652"/>
      <c r="F57" s="652"/>
      <c r="G57" s="661"/>
      <c r="H57" s="652"/>
      <c r="I57" s="652"/>
      <c r="J57" s="659"/>
      <c r="K57" s="659"/>
      <c r="L57" s="659"/>
      <c r="M57" s="659"/>
      <c r="N57" s="659"/>
      <c r="O57" s="659"/>
    </row>
    <row r="58" spans="1:15" s="660" customFormat="1" ht="13.5" customHeight="1">
      <c r="A58" s="651" t="s">
        <v>1135</v>
      </c>
      <c r="B58" s="652">
        <v>559</v>
      </c>
      <c r="C58" s="661">
        <v>25.2</v>
      </c>
      <c r="D58" s="652">
        <v>1566667</v>
      </c>
      <c r="E58" s="652">
        <f>SUM(C58*D58)/1000</f>
        <v>39480.0084</v>
      </c>
      <c r="F58" s="652">
        <v>559</v>
      </c>
      <c r="G58" s="661">
        <v>25.2</v>
      </c>
      <c r="H58" s="652">
        <v>1566667</v>
      </c>
      <c r="I58" s="652">
        <f>SUM(G58*H58)/1000</f>
        <v>39480.0084</v>
      </c>
      <c r="J58" s="659"/>
      <c r="K58" s="659"/>
      <c r="L58" s="659"/>
      <c r="M58" s="659"/>
      <c r="N58" s="659"/>
      <c r="O58" s="659"/>
    </row>
    <row r="59" spans="1:15" s="660" customFormat="1" ht="13.5" customHeight="1">
      <c r="A59" s="651" t="s">
        <v>1136</v>
      </c>
      <c r="B59" s="652">
        <v>561</v>
      </c>
      <c r="C59" s="661">
        <v>25.2</v>
      </c>
      <c r="D59" s="652">
        <v>783333</v>
      </c>
      <c r="E59" s="652">
        <f>SUM(C59*D59)/1000</f>
        <v>19739.991599999998</v>
      </c>
      <c r="F59" s="652">
        <v>561</v>
      </c>
      <c r="G59" s="661">
        <v>25.2</v>
      </c>
      <c r="H59" s="652">
        <v>783333</v>
      </c>
      <c r="I59" s="652">
        <f>SUM(G59*H59)/1000</f>
        <v>19739.991599999998</v>
      </c>
      <c r="J59" s="659"/>
      <c r="K59" s="659"/>
      <c r="L59" s="659"/>
      <c r="M59" s="659"/>
      <c r="N59" s="659"/>
      <c r="O59" s="659"/>
    </row>
    <row r="60" spans="1:15" s="660" customFormat="1" ht="13.5" customHeight="1">
      <c r="A60" s="651" t="s">
        <v>0</v>
      </c>
      <c r="B60" s="652"/>
      <c r="C60" s="661"/>
      <c r="D60" s="652"/>
      <c r="E60" s="652"/>
      <c r="F60" s="652"/>
      <c r="G60" s="661"/>
      <c r="H60" s="652"/>
      <c r="I60" s="652"/>
      <c r="J60" s="659"/>
      <c r="K60" s="659"/>
      <c r="L60" s="659"/>
      <c r="M60" s="659"/>
      <c r="N60" s="659"/>
      <c r="O60" s="659"/>
    </row>
    <row r="61" spans="1:15" s="660" customFormat="1" ht="13.5" customHeight="1">
      <c r="A61" s="651" t="s">
        <v>1135</v>
      </c>
      <c r="B61" s="652">
        <v>851</v>
      </c>
      <c r="C61" s="661">
        <v>15.3</v>
      </c>
      <c r="D61" s="652">
        <v>1566667</v>
      </c>
      <c r="E61" s="652">
        <f>SUM(C61*D61)/1000</f>
        <v>23970.005100000002</v>
      </c>
      <c r="F61" s="652">
        <v>851</v>
      </c>
      <c r="G61" s="661">
        <v>15.3</v>
      </c>
      <c r="H61" s="652">
        <v>1566667</v>
      </c>
      <c r="I61" s="652">
        <f>SUM(G61*H61)/1000</f>
        <v>23970.005100000002</v>
      </c>
      <c r="J61" s="659"/>
      <c r="K61" s="659"/>
      <c r="L61" s="659"/>
      <c r="M61" s="659"/>
      <c r="N61" s="659"/>
      <c r="O61" s="659"/>
    </row>
    <row r="62" spans="1:15" s="660" customFormat="1" ht="13.5" customHeight="1">
      <c r="A62" s="651" t="s">
        <v>1136</v>
      </c>
      <c r="B62" s="652">
        <v>829</v>
      </c>
      <c r="C62" s="661">
        <v>14.9</v>
      </c>
      <c r="D62" s="652">
        <v>783333</v>
      </c>
      <c r="E62" s="652">
        <f>SUM(C62*D62)/1000</f>
        <v>11671.6617</v>
      </c>
      <c r="F62" s="652">
        <v>829</v>
      </c>
      <c r="G62" s="661">
        <v>14.9</v>
      </c>
      <c r="H62" s="652">
        <v>783333</v>
      </c>
      <c r="I62" s="652">
        <f>SUM(G62*H62)/1000</f>
        <v>11671.6617</v>
      </c>
      <c r="J62" s="659"/>
      <c r="K62" s="659"/>
      <c r="L62" s="659"/>
      <c r="M62" s="659"/>
      <c r="N62" s="659"/>
      <c r="O62" s="659"/>
    </row>
    <row r="63" spans="1:17" ht="13.5" customHeight="1">
      <c r="A63" s="651" t="s">
        <v>1</v>
      </c>
      <c r="B63" s="652"/>
      <c r="C63" s="661"/>
      <c r="D63" s="652"/>
      <c r="E63" s="652"/>
      <c r="F63" s="652"/>
      <c r="G63" s="661"/>
      <c r="H63" s="652"/>
      <c r="I63" s="652"/>
      <c r="P63" s="642"/>
      <c r="Q63" s="642"/>
    </row>
    <row r="64" spans="1:17" ht="13.5" customHeight="1">
      <c r="A64" s="651" t="s">
        <v>1135</v>
      </c>
      <c r="B64" s="652">
        <v>613</v>
      </c>
      <c r="C64" s="661">
        <v>74.5</v>
      </c>
      <c r="D64" s="652">
        <v>1566667</v>
      </c>
      <c r="E64" s="652">
        <f>SUM(C64*D64)/1000</f>
        <v>116716.6915</v>
      </c>
      <c r="F64" s="652">
        <v>613</v>
      </c>
      <c r="G64" s="661">
        <v>74.5</v>
      </c>
      <c r="H64" s="652">
        <v>1566667</v>
      </c>
      <c r="I64" s="652">
        <f>SUM(G64*H64)/1000</f>
        <v>116716.6915</v>
      </c>
      <c r="P64" s="642"/>
      <c r="Q64" s="642"/>
    </row>
    <row r="65" spans="1:17" ht="13.5" customHeight="1">
      <c r="A65" s="651" t="s">
        <v>1136</v>
      </c>
      <c r="B65" s="652">
        <v>610</v>
      </c>
      <c r="C65" s="661">
        <v>74.2</v>
      </c>
      <c r="D65" s="652">
        <v>783333</v>
      </c>
      <c r="E65" s="652">
        <f>SUM(C65*D65)/1000</f>
        <v>58123.308600000004</v>
      </c>
      <c r="F65" s="652">
        <v>610</v>
      </c>
      <c r="G65" s="661">
        <v>74.2</v>
      </c>
      <c r="H65" s="652">
        <v>783333</v>
      </c>
      <c r="I65" s="652">
        <f>SUM(G65*H65)/1000</f>
        <v>58123.308600000004</v>
      </c>
      <c r="P65" s="642"/>
      <c r="Q65" s="642"/>
    </row>
    <row r="66" spans="1:17" ht="13.5" customHeight="1">
      <c r="A66" s="651" t="s">
        <v>2</v>
      </c>
      <c r="B66" s="652"/>
      <c r="C66" s="652"/>
      <c r="D66" s="652"/>
      <c r="E66" s="652"/>
      <c r="F66" s="652"/>
      <c r="G66" s="652"/>
      <c r="H66" s="652"/>
      <c r="I66" s="652"/>
      <c r="P66" s="642"/>
      <c r="Q66" s="642"/>
    </row>
    <row r="67" spans="1:17" ht="13.5" customHeight="1">
      <c r="A67" s="656" t="s">
        <v>3</v>
      </c>
      <c r="B67" s="652"/>
      <c r="C67" s="661"/>
      <c r="D67" s="652"/>
      <c r="E67" s="652"/>
      <c r="F67" s="652"/>
      <c r="G67" s="661"/>
      <c r="H67" s="652"/>
      <c r="I67" s="652"/>
      <c r="P67" s="642"/>
      <c r="Q67" s="642"/>
    </row>
    <row r="68" spans="1:17" ht="10.5" customHeight="1">
      <c r="A68" s="651" t="s">
        <v>1135</v>
      </c>
      <c r="B68" s="652">
        <v>1826</v>
      </c>
      <c r="C68" s="661">
        <v>17.5</v>
      </c>
      <c r="D68" s="652">
        <v>1566667</v>
      </c>
      <c r="E68" s="652">
        <f>SUM(C68*D68)/1000</f>
        <v>27416.6725</v>
      </c>
      <c r="F68" s="652">
        <v>1826</v>
      </c>
      <c r="G68" s="661">
        <v>17.5</v>
      </c>
      <c r="H68" s="652">
        <v>1566667</v>
      </c>
      <c r="I68" s="652">
        <f>SUM(G68*H68)/1000</f>
        <v>27416.6725</v>
      </c>
      <c r="P68" s="642"/>
      <c r="Q68" s="642"/>
    </row>
    <row r="69" spans="1:17" ht="10.5" customHeight="1">
      <c r="A69" s="651" t="s">
        <v>1136</v>
      </c>
      <c r="B69" s="652">
        <v>1779</v>
      </c>
      <c r="C69" s="661">
        <v>17.1</v>
      </c>
      <c r="D69" s="652">
        <v>783333</v>
      </c>
      <c r="E69" s="652">
        <f>SUM(C69*D69)/1000</f>
        <v>13394.9943</v>
      </c>
      <c r="F69" s="652">
        <v>1779</v>
      </c>
      <c r="G69" s="661">
        <v>17.1</v>
      </c>
      <c r="H69" s="652">
        <v>783333</v>
      </c>
      <c r="I69" s="652">
        <f>SUM(G69*H69)/1000</f>
        <v>13394.9943</v>
      </c>
      <c r="P69" s="642"/>
      <c r="Q69" s="642"/>
    </row>
    <row r="70" spans="1:17" ht="12" customHeight="1">
      <c r="A70" s="656" t="s">
        <v>4</v>
      </c>
      <c r="B70" s="652"/>
      <c r="C70" s="661"/>
      <c r="D70" s="652"/>
      <c r="E70" s="652"/>
      <c r="F70" s="652"/>
      <c r="G70" s="661"/>
      <c r="H70" s="652"/>
      <c r="I70" s="652"/>
      <c r="P70" s="642"/>
      <c r="Q70" s="642"/>
    </row>
    <row r="71" spans="1:17" ht="12" customHeight="1">
      <c r="A71" s="651" t="s">
        <v>1135</v>
      </c>
      <c r="B71" s="652">
        <v>515</v>
      </c>
      <c r="C71" s="661">
        <v>3.3</v>
      </c>
      <c r="D71" s="652">
        <v>1566667</v>
      </c>
      <c r="E71" s="652">
        <f>SUM(C71*D71)/1000</f>
        <v>5170.0010999999995</v>
      </c>
      <c r="F71" s="652">
        <v>515</v>
      </c>
      <c r="G71" s="661">
        <v>3.3</v>
      </c>
      <c r="H71" s="652">
        <v>1566667</v>
      </c>
      <c r="I71" s="652">
        <f>SUM(G71*H71)/1000</f>
        <v>5170.0010999999995</v>
      </c>
      <c r="P71" s="642"/>
      <c r="Q71" s="642"/>
    </row>
    <row r="72" spans="1:17" ht="12" customHeight="1">
      <c r="A72" s="651" t="s">
        <v>1136</v>
      </c>
      <c r="B72" s="652">
        <v>484</v>
      </c>
      <c r="C72" s="661">
        <v>3.1</v>
      </c>
      <c r="D72" s="652">
        <v>783333</v>
      </c>
      <c r="E72" s="652">
        <f>SUM(C72*D72)/1000</f>
        <v>2428.3323000000005</v>
      </c>
      <c r="F72" s="652">
        <v>484</v>
      </c>
      <c r="G72" s="661">
        <v>3.1</v>
      </c>
      <c r="H72" s="652">
        <v>783333</v>
      </c>
      <c r="I72" s="652">
        <f>SUM(G72*H72)/1000</f>
        <v>2428.3323000000005</v>
      </c>
      <c r="P72" s="642"/>
      <c r="Q72" s="642"/>
    </row>
    <row r="73" spans="1:17" ht="12.75" customHeight="1">
      <c r="A73" s="656" t="s">
        <v>5</v>
      </c>
      <c r="B73" s="652"/>
      <c r="C73" s="661"/>
      <c r="D73" s="652"/>
      <c r="E73" s="652"/>
      <c r="F73" s="652"/>
      <c r="G73" s="661"/>
      <c r="H73" s="652"/>
      <c r="I73" s="652"/>
      <c r="P73" s="642"/>
      <c r="Q73" s="642"/>
    </row>
    <row r="74" spans="1:17" ht="12" customHeight="1">
      <c r="A74" s="651" t="s">
        <v>1135</v>
      </c>
      <c r="B74" s="652">
        <v>98</v>
      </c>
      <c r="C74" s="661">
        <v>1.3</v>
      </c>
      <c r="D74" s="652">
        <v>1566667</v>
      </c>
      <c r="E74" s="652">
        <f>SUM(C74*D74)/1000</f>
        <v>2036.6671000000001</v>
      </c>
      <c r="F74" s="652">
        <v>98</v>
      </c>
      <c r="G74" s="661">
        <v>1.3</v>
      </c>
      <c r="H74" s="652">
        <v>1566667</v>
      </c>
      <c r="I74" s="652">
        <f>SUM(G74*H74)/1000</f>
        <v>2036.6671000000001</v>
      </c>
      <c r="P74" s="642"/>
      <c r="Q74" s="642"/>
    </row>
    <row r="75" spans="1:17" ht="12" customHeight="1">
      <c r="A75" s="651" t="s">
        <v>1136</v>
      </c>
      <c r="B75" s="652">
        <v>121</v>
      </c>
      <c r="C75" s="661">
        <v>1.6</v>
      </c>
      <c r="D75" s="652">
        <v>783333</v>
      </c>
      <c r="E75" s="652">
        <f>SUM(C75*D75)/1000</f>
        <v>1253.3328000000001</v>
      </c>
      <c r="F75" s="652">
        <v>121</v>
      </c>
      <c r="G75" s="661">
        <v>1.6</v>
      </c>
      <c r="H75" s="652">
        <v>783333</v>
      </c>
      <c r="I75" s="652">
        <f>SUM(G75*H75)/1000</f>
        <v>1253.3328000000001</v>
      </c>
      <c r="P75" s="642"/>
      <c r="Q75" s="642"/>
    </row>
    <row r="76" spans="1:17" ht="13.5" customHeight="1">
      <c r="A76" s="656" t="s">
        <v>6</v>
      </c>
      <c r="B76" s="652"/>
      <c r="C76" s="652"/>
      <c r="D76" s="652"/>
      <c r="E76" s="652"/>
      <c r="F76" s="652"/>
      <c r="G76" s="652"/>
      <c r="H76" s="652"/>
      <c r="I76" s="652"/>
      <c r="P76" s="642"/>
      <c r="Q76" s="642"/>
    </row>
    <row r="77" spans="1:17" ht="13.5" customHeight="1">
      <c r="A77" s="651" t="s">
        <v>1135</v>
      </c>
      <c r="B77" s="652">
        <v>575</v>
      </c>
      <c r="C77" s="652"/>
      <c r="D77" s="652">
        <v>42667</v>
      </c>
      <c r="E77" s="652">
        <f>SUM(B77*D77)/1000</f>
        <v>24533.525</v>
      </c>
      <c r="F77" s="652">
        <v>575</v>
      </c>
      <c r="G77" s="652"/>
      <c r="H77" s="652">
        <v>42667</v>
      </c>
      <c r="I77" s="652">
        <f>SUM(F77*H77)/1000</f>
        <v>24533.525</v>
      </c>
      <c r="P77" s="642"/>
      <c r="Q77" s="642"/>
    </row>
    <row r="78" spans="1:17" ht="13.5" customHeight="1">
      <c r="A78" s="651" t="s">
        <v>1136</v>
      </c>
      <c r="B78" s="652">
        <v>599</v>
      </c>
      <c r="C78" s="652"/>
      <c r="D78" s="652">
        <v>21333</v>
      </c>
      <c r="E78" s="652">
        <f>SUM(B78*D78)/1000</f>
        <v>12778.467</v>
      </c>
      <c r="F78" s="652">
        <v>599</v>
      </c>
      <c r="G78" s="652"/>
      <c r="H78" s="652">
        <v>21333</v>
      </c>
      <c r="I78" s="652">
        <f>SUM(F78*H78)/1000</f>
        <v>12778.467</v>
      </c>
      <c r="P78" s="642"/>
      <c r="Q78" s="642"/>
    </row>
    <row r="79" spans="1:17" ht="13.5" customHeight="1">
      <c r="A79" s="656" t="s">
        <v>7</v>
      </c>
      <c r="B79" s="652"/>
      <c r="C79" s="652"/>
      <c r="D79" s="652"/>
      <c r="E79" s="652"/>
      <c r="F79" s="652"/>
      <c r="G79" s="652"/>
      <c r="H79" s="652"/>
      <c r="I79" s="652"/>
      <c r="P79" s="642"/>
      <c r="Q79" s="642"/>
    </row>
    <row r="80" spans="1:17" ht="13.5" customHeight="1">
      <c r="A80" s="651" t="s">
        <v>1135</v>
      </c>
      <c r="B80" s="652">
        <v>255</v>
      </c>
      <c r="C80" s="652"/>
      <c r="D80" s="652">
        <v>42667</v>
      </c>
      <c r="E80" s="652">
        <f>SUM(B80*D80)/1000</f>
        <v>10880.085</v>
      </c>
      <c r="F80" s="652">
        <v>255</v>
      </c>
      <c r="G80" s="652"/>
      <c r="H80" s="652">
        <v>42667</v>
      </c>
      <c r="I80" s="652">
        <f>SUM(F80*H80)/1000</f>
        <v>10880.085</v>
      </c>
      <c r="P80" s="642"/>
      <c r="Q80" s="642"/>
    </row>
    <row r="81" spans="1:17" ht="13.5" customHeight="1">
      <c r="A81" s="651" t="s">
        <v>1136</v>
      </c>
      <c r="B81" s="652">
        <v>231</v>
      </c>
      <c r="C81" s="652"/>
      <c r="D81" s="652">
        <v>21333</v>
      </c>
      <c r="E81" s="652">
        <f>SUM(B81*D81)/1000</f>
        <v>4927.923</v>
      </c>
      <c r="F81" s="652">
        <v>231</v>
      </c>
      <c r="G81" s="652"/>
      <c r="H81" s="652">
        <v>21333</v>
      </c>
      <c r="I81" s="652">
        <f>SUM(F81*H81)/1000</f>
        <v>4927.923</v>
      </c>
      <c r="P81" s="642"/>
      <c r="Q81" s="642"/>
    </row>
    <row r="82" spans="1:17" ht="13.5" customHeight="1">
      <c r="A82" s="656" t="s">
        <v>19</v>
      </c>
      <c r="B82" s="652"/>
      <c r="C82" s="652"/>
      <c r="D82" s="652"/>
      <c r="E82" s="652"/>
      <c r="F82" s="652"/>
      <c r="G82" s="652"/>
      <c r="H82" s="652"/>
      <c r="I82" s="652"/>
      <c r="P82" s="642"/>
      <c r="Q82" s="642"/>
    </row>
    <row r="83" spans="1:17" ht="24" customHeight="1">
      <c r="A83" s="656" t="s">
        <v>20</v>
      </c>
      <c r="B83" s="652"/>
      <c r="C83" s="652"/>
      <c r="D83" s="652"/>
      <c r="E83" s="652"/>
      <c r="F83" s="652"/>
      <c r="G83" s="652"/>
      <c r="H83" s="652"/>
      <c r="I83" s="652"/>
      <c r="P83" s="642"/>
      <c r="Q83" s="642"/>
    </row>
    <row r="84" spans="1:17" ht="13.5" customHeight="1">
      <c r="A84" s="656" t="s">
        <v>21</v>
      </c>
      <c r="B84" s="661">
        <v>2309</v>
      </c>
      <c r="C84" s="652"/>
      <c r="D84" s="652">
        <v>15300</v>
      </c>
      <c r="E84" s="652">
        <v>35323</v>
      </c>
      <c r="F84" s="661">
        <v>2309</v>
      </c>
      <c r="G84" s="652"/>
      <c r="H84" s="652">
        <v>15300</v>
      </c>
      <c r="I84" s="652">
        <v>35323</v>
      </c>
      <c r="P84" s="642"/>
      <c r="Q84" s="642"/>
    </row>
    <row r="85" spans="1:17" ht="13.5" customHeight="1">
      <c r="A85" s="656" t="s">
        <v>22</v>
      </c>
      <c r="B85" s="652">
        <v>939</v>
      </c>
      <c r="C85" s="652"/>
      <c r="D85" s="652">
        <v>6000</v>
      </c>
      <c r="E85" s="652">
        <f>SUM(B85*D85)/1000</f>
        <v>5634</v>
      </c>
      <c r="F85" s="652">
        <v>939</v>
      </c>
      <c r="G85" s="652"/>
      <c r="H85" s="652">
        <v>6000</v>
      </c>
      <c r="I85" s="652">
        <f>SUM(F85*H85)/1000</f>
        <v>5634</v>
      </c>
      <c r="P85" s="642"/>
      <c r="Q85" s="642"/>
    </row>
    <row r="86" spans="1:17" ht="13.5" customHeight="1">
      <c r="A86" s="656" t="s">
        <v>23</v>
      </c>
      <c r="B86" s="652">
        <v>707</v>
      </c>
      <c r="C86" s="652"/>
      <c r="D86" s="652">
        <v>6000</v>
      </c>
      <c r="E86" s="652">
        <f>SUM(B86*D86)/1000</f>
        <v>4242</v>
      </c>
      <c r="F86" s="652">
        <v>707</v>
      </c>
      <c r="G86" s="652"/>
      <c r="H86" s="652">
        <v>6000</v>
      </c>
      <c r="I86" s="652">
        <f>SUM(F86*H86)/1000</f>
        <v>4242</v>
      </c>
      <c r="P86" s="642"/>
      <c r="Q86" s="642"/>
    </row>
    <row r="87" spans="1:17" ht="13.5" customHeight="1">
      <c r="A87" s="663" t="s">
        <v>24</v>
      </c>
      <c r="B87" s="664"/>
      <c r="C87" s="664"/>
      <c r="D87" s="664"/>
      <c r="E87" s="664">
        <f>SUM(E3:E86)</f>
        <v>2876414.4933</v>
      </c>
      <c r="F87" s="664"/>
      <c r="G87" s="664"/>
      <c r="H87" s="664"/>
      <c r="I87" s="664">
        <f>SUM(I3:I86)</f>
        <v>2876414.4933</v>
      </c>
      <c r="P87" s="642"/>
      <c r="Q87" s="642"/>
    </row>
    <row r="88" spans="1:17" ht="13.5" customHeight="1">
      <c r="A88" s="654" t="s">
        <v>25</v>
      </c>
      <c r="B88" s="652">
        <v>59464</v>
      </c>
      <c r="C88" s="652"/>
      <c r="D88" s="652">
        <v>4074</v>
      </c>
      <c r="E88" s="652">
        <f>SUM(B88*D88)/1000</f>
        <v>242256.336</v>
      </c>
      <c r="F88" s="652">
        <v>59464</v>
      </c>
      <c r="G88" s="652"/>
      <c r="H88" s="652">
        <v>4074</v>
      </c>
      <c r="I88" s="652">
        <f>SUM(F88*H88)/1000</f>
        <v>242256.336</v>
      </c>
      <c r="P88" s="642"/>
      <c r="Q88" s="642"/>
    </row>
    <row r="89" spans="1:17" ht="13.5" customHeight="1">
      <c r="A89" s="654" t="s">
        <v>26</v>
      </c>
      <c r="B89" s="652">
        <v>3146</v>
      </c>
      <c r="C89" s="652"/>
      <c r="D89" s="652">
        <v>2612</v>
      </c>
      <c r="E89" s="652">
        <f>SUM(B89*D89)/1000</f>
        <v>8217.352</v>
      </c>
      <c r="F89" s="652">
        <v>3146</v>
      </c>
      <c r="G89" s="652"/>
      <c r="H89" s="652">
        <v>2612</v>
      </c>
      <c r="I89" s="652">
        <f>SUM(F89*H89)/1000</f>
        <v>8217.352</v>
      </c>
      <c r="P89" s="642"/>
      <c r="Q89" s="642"/>
    </row>
    <row r="90" spans="1:17" ht="13.5" customHeight="1">
      <c r="A90" s="662" t="s">
        <v>30</v>
      </c>
      <c r="B90" s="652">
        <v>1000</v>
      </c>
      <c r="C90" s="652"/>
      <c r="D90" s="652">
        <v>100</v>
      </c>
      <c r="E90" s="652">
        <f>SUM(B90*D90)/1000</f>
        <v>100</v>
      </c>
      <c r="F90" s="652">
        <v>1000</v>
      </c>
      <c r="G90" s="652"/>
      <c r="H90" s="652">
        <v>100</v>
      </c>
      <c r="I90" s="652">
        <f>SUM(F90*H90)/1000</f>
        <v>100</v>
      </c>
      <c r="P90" s="642"/>
      <c r="Q90" s="642"/>
    </row>
    <row r="91" spans="1:17" ht="13.5" customHeight="1">
      <c r="A91" s="651" t="s">
        <v>31</v>
      </c>
      <c r="B91" s="652">
        <v>1</v>
      </c>
      <c r="C91" s="652"/>
      <c r="D91" s="652">
        <v>3000000</v>
      </c>
      <c r="E91" s="652">
        <v>3000</v>
      </c>
      <c r="F91" s="652">
        <v>1</v>
      </c>
      <c r="G91" s="652"/>
      <c r="H91" s="652">
        <v>3000000</v>
      </c>
      <c r="I91" s="652">
        <v>3000</v>
      </c>
      <c r="P91" s="642"/>
      <c r="Q91" s="642"/>
    </row>
    <row r="92" spans="1:17" ht="13.5" customHeight="1">
      <c r="A92" s="649" t="s">
        <v>32</v>
      </c>
      <c r="B92" s="650"/>
      <c r="C92" s="650">
        <v>787</v>
      </c>
      <c r="D92" s="652">
        <v>28600</v>
      </c>
      <c r="E92" s="652">
        <f>SUM(C92*D92)/1000</f>
        <v>22508.2</v>
      </c>
      <c r="F92" s="650"/>
      <c r="G92" s="650">
        <v>787</v>
      </c>
      <c r="H92" s="652">
        <v>28600</v>
      </c>
      <c r="I92" s="652">
        <f>SUM(G92*H92)/1000</f>
        <v>22508.2</v>
      </c>
      <c r="P92" s="642"/>
      <c r="Q92" s="642"/>
    </row>
    <row r="93" spans="1:17" ht="13.5" customHeight="1">
      <c r="A93" s="649" t="s">
        <v>33</v>
      </c>
      <c r="B93" s="650">
        <v>97438</v>
      </c>
      <c r="C93" s="650">
        <v>1467</v>
      </c>
      <c r="D93" s="665" t="s">
        <v>34</v>
      </c>
      <c r="E93" s="652">
        <v>16795</v>
      </c>
      <c r="F93" s="650">
        <v>97438</v>
      </c>
      <c r="G93" s="650">
        <v>1467</v>
      </c>
      <c r="H93" s="665" t="s">
        <v>34</v>
      </c>
      <c r="I93" s="652">
        <v>16795</v>
      </c>
      <c r="P93" s="642"/>
      <c r="Q93" s="642"/>
    </row>
    <row r="94" spans="1:17" ht="13.5" customHeight="1">
      <c r="A94" s="651" t="s">
        <v>35</v>
      </c>
      <c r="B94" s="652">
        <v>66866</v>
      </c>
      <c r="C94" s="652"/>
      <c r="D94" s="652">
        <v>276</v>
      </c>
      <c r="E94" s="652">
        <f>SUM(B94*D94)/1000</f>
        <v>18455.016</v>
      </c>
      <c r="F94" s="652">
        <v>66866</v>
      </c>
      <c r="G94" s="652"/>
      <c r="H94" s="652">
        <v>276</v>
      </c>
      <c r="I94" s="652">
        <f>SUM(F94*H94)/1000</f>
        <v>18455.016</v>
      </c>
      <c r="P94" s="642"/>
      <c r="Q94" s="642"/>
    </row>
    <row r="95" spans="1:17" ht="13.5" customHeight="1">
      <c r="A95" s="651" t="s">
        <v>36</v>
      </c>
      <c r="B95" s="652"/>
      <c r="C95" s="652"/>
      <c r="D95" s="652"/>
      <c r="E95" s="652">
        <v>193166</v>
      </c>
      <c r="F95" s="652"/>
      <c r="G95" s="652"/>
      <c r="H95" s="652"/>
      <c r="I95" s="652">
        <v>193166</v>
      </c>
      <c r="P95" s="642"/>
      <c r="Q95" s="642"/>
    </row>
    <row r="96" spans="1:17" ht="13.5" customHeight="1">
      <c r="A96" s="651" t="s">
        <v>37</v>
      </c>
      <c r="B96" s="652">
        <v>60207</v>
      </c>
      <c r="C96" s="652"/>
      <c r="D96" s="652"/>
      <c r="E96" s="652">
        <v>47564</v>
      </c>
      <c r="F96" s="652">
        <v>60207</v>
      </c>
      <c r="G96" s="652"/>
      <c r="H96" s="652"/>
      <c r="I96" s="652">
        <v>47564</v>
      </c>
      <c r="P96" s="642"/>
      <c r="Q96" s="642"/>
    </row>
    <row r="97" spans="1:17" ht="13.5" customHeight="1">
      <c r="A97" s="651" t="s">
        <v>38</v>
      </c>
      <c r="B97" s="657"/>
      <c r="C97" s="652">
        <v>490</v>
      </c>
      <c r="D97" s="652">
        <v>55360</v>
      </c>
      <c r="E97" s="652">
        <f aca="true" t="shared" si="2" ref="E97:E102">SUM(C97*D97)/1000</f>
        <v>27126.4</v>
      </c>
      <c r="F97" s="657"/>
      <c r="G97" s="652">
        <v>490</v>
      </c>
      <c r="H97" s="652">
        <v>55360</v>
      </c>
      <c r="I97" s="652">
        <f aca="true" t="shared" si="3" ref="I97:I102">SUM(G97*H97)/1000</f>
        <v>27126.4</v>
      </c>
      <c r="P97" s="642"/>
      <c r="Q97" s="642"/>
    </row>
    <row r="98" spans="1:17" ht="13.5" customHeight="1">
      <c r="A98" s="651" t="s">
        <v>39</v>
      </c>
      <c r="B98" s="657"/>
      <c r="C98" s="652">
        <v>63</v>
      </c>
      <c r="D98" s="652">
        <v>166080</v>
      </c>
      <c r="E98" s="652">
        <f t="shared" si="2"/>
        <v>10463.04</v>
      </c>
      <c r="F98" s="657"/>
      <c r="G98" s="652">
        <v>63</v>
      </c>
      <c r="H98" s="652">
        <v>166080</v>
      </c>
      <c r="I98" s="652">
        <f t="shared" si="3"/>
        <v>10463.04</v>
      </c>
      <c r="P98" s="642"/>
      <c r="Q98" s="642"/>
    </row>
    <row r="99" spans="1:17" ht="13.5" customHeight="1">
      <c r="A99" s="654" t="s">
        <v>40</v>
      </c>
      <c r="B99" s="666"/>
      <c r="C99" s="652">
        <v>80</v>
      </c>
      <c r="D99" s="652">
        <v>88580</v>
      </c>
      <c r="E99" s="652">
        <f t="shared" si="2"/>
        <v>7086.4</v>
      </c>
      <c r="F99" s="666"/>
      <c r="G99" s="652">
        <v>80</v>
      </c>
      <c r="H99" s="652">
        <v>88580</v>
      </c>
      <c r="I99" s="652">
        <f t="shared" si="3"/>
        <v>7086.4</v>
      </c>
      <c r="P99" s="642"/>
      <c r="Q99" s="642"/>
    </row>
    <row r="100" spans="1:17" ht="15" customHeight="1">
      <c r="A100" s="654" t="s">
        <v>41</v>
      </c>
      <c r="B100" s="666"/>
      <c r="C100" s="652">
        <v>15</v>
      </c>
      <c r="D100" s="652">
        <v>206100</v>
      </c>
      <c r="E100" s="652">
        <f t="shared" si="2"/>
        <v>3091.5</v>
      </c>
      <c r="F100" s="666"/>
      <c r="G100" s="652">
        <v>15</v>
      </c>
      <c r="H100" s="652">
        <v>206100</v>
      </c>
      <c r="I100" s="652">
        <f t="shared" si="3"/>
        <v>3091.5</v>
      </c>
      <c r="P100" s="642"/>
      <c r="Q100" s="642"/>
    </row>
    <row r="101" spans="1:17" ht="13.5" customHeight="1">
      <c r="A101" s="654" t="s">
        <v>42</v>
      </c>
      <c r="B101" s="666"/>
      <c r="C101" s="652">
        <v>5</v>
      </c>
      <c r="D101" s="652">
        <v>405600</v>
      </c>
      <c r="E101" s="652">
        <f t="shared" si="2"/>
        <v>2028</v>
      </c>
      <c r="F101" s="666"/>
      <c r="G101" s="652">
        <v>5</v>
      </c>
      <c r="H101" s="652">
        <v>405600</v>
      </c>
      <c r="I101" s="652">
        <f t="shared" si="3"/>
        <v>2028</v>
      </c>
      <c r="P101" s="642"/>
      <c r="Q101" s="642"/>
    </row>
    <row r="102" spans="1:9" ht="13.5" customHeight="1">
      <c r="A102" s="651" t="s">
        <v>43</v>
      </c>
      <c r="B102" s="667" t="s">
        <v>44</v>
      </c>
      <c r="C102" s="652">
        <v>1</v>
      </c>
      <c r="D102" s="652">
        <v>2099400</v>
      </c>
      <c r="E102" s="652">
        <f t="shared" si="2"/>
        <v>2099.4</v>
      </c>
      <c r="F102" s="667" t="s">
        <v>44</v>
      </c>
      <c r="G102" s="652">
        <v>1</v>
      </c>
      <c r="H102" s="652">
        <v>2099400</v>
      </c>
      <c r="I102" s="652">
        <f t="shared" si="3"/>
        <v>2099.4</v>
      </c>
    </row>
    <row r="103" spans="1:9" ht="13.5" customHeight="1">
      <c r="A103" s="651" t="s">
        <v>45</v>
      </c>
      <c r="B103" s="667"/>
      <c r="C103" s="652"/>
      <c r="D103" s="652"/>
      <c r="E103" s="652"/>
      <c r="F103" s="667"/>
      <c r="G103" s="652"/>
      <c r="H103" s="652"/>
      <c r="I103" s="652"/>
    </row>
    <row r="104" spans="1:9" ht="24.75" customHeight="1">
      <c r="A104" s="654" t="s">
        <v>46</v>
      </c>
      <c r="B104" s="657"/>
      <c r="C104" s="652">
        <v>73</v>
      </c>
      <c r="D104" s="652">
        <v>635650</v>
      </c>
      <c r="E104" s="652">
        <f>SUM(C104*D104)/1000</f>
        <v>46402.45</v>
      </c>
      <c r="F104" s="657"/>
      <c r="G104" s="652">
        <v>73</v>
      </c>
      <c r="H104" s="652">
        <v>635650</v>
      </c>
      <c r="I104" s="652">
        <f>SUM(G104*H104)/1000</f>
        <v>46402.45</v>
      </c>
    </row>
    <row r="105" spans="1:9" ht="13.5" customHeight="1">
      <c r="A105" s="651" t="s">
        <v>47</v>
      </c>
      <c r="B105" s="657"/>
      <c r="C105" s="652">
        <v>42</v>
      </c>
      <c r="D105" s="652">
        <v>635650</v>
      </c>
      <c r="E105" s="652">
        <f>SUM(C105*D105)/1000</f>
        <v>26697.3</v>
      </c>
      <c r="F105" s="657"/>
      <c r="G105" s="652">
        <v>42</v>
      </c>
      <c r="H105" s="652">
        <v>635650</v>
      </c>
      <c r="I105" s="652">
        <f>SUM(G105*H105)/1000</f>
        <v>26697.3</v>
      </c>
    </row>
    <row r="106" spans="1:9" ht="13.5" customHeight="1">
      <c r="A106" s="651" t="s">
        <v>48</v>
      </c>
      <c r="B106" s="657"/>
      <c r="C106" s="652">
        <v>3</v>
      </c>
      <c r="D106" s="652">
        <v>635650</v>
      </c>
      <c r="E106" s="652">
        <f>SUM(C106*D106)/1000</f>
        <v>1906.95</v>
      </c>
      <c r="F106" s="657"/>
      <c r="G106" s="652">
        <v>3</v>
      </c>
      <c r="H106" s="652">
        <v>635650</v>
      </c>
      <c r="I106" s="652">
        <f>SUM(G106*H106)/1000</f>
        <v>1906.95</v>
      </c>
    </row>
    <row r="107" spans="1:9" ht="13.5" customHeight="1">
      <c r="A107" s="651" t="s">
        <v>49</v>
      </c>
      <c r="B107" s="657"/>
      <c r="C107" s="652"/>
      <c r="D107" s="652"/>
      <c r="E107" s="652"/>
      <c r="F107" s="657"/>
      <c r="G107" s="652"/>
      <c r="H107" s="652"/>
      <c r="I107" s="652"/>
    </row>
    <row r="108" spans="1:9" ht="13.5" customHeight="1">
      <c r="A108" s="654" t="s">
        <v>50</v>
      </c>
      <c r="B108" s="657"/>
      <c r="C108" s="652">
        <v>23</v>
      </c>
      <c r="D108" s="652">
        <v>710650</v>
      </c>
      <c r="E108" s="652">
        <f>SUM(C108*D108)/1000</f>
        <v>16344.95</v>
      </c>
      <c r="F108" s="657"/>
      <c r="G108" s="652">
        <v>23</v>
      </c>
      <c r="H108" s="652">
        <v>710650</v>
      </c>
      <c r="I108" s="652">
        <f>SUM(G108*H108)/1000</f>
        <v>16344.95</v>
      </c>
    </row>
    <row r="109" spans="1:9" ht="13.5" customHeight="1">
      <c r="A109" s="654" t="s">
        <v>52</v>
      </c>
      <c r="B109" s="657"/>
      <c r="C109" s="652">
        <v>1</v>
      </c>
      <c r="D109" s="668">
        <v>127130</v>
      </c>
      <c r="E109" s="652">
        <f>SUM(C109*D109)/1000</f>
        <v>127.13</v>
      </c>
      <c r="F109" s="657"/>
      <c r="G109" s="652">
        <v>1</v>
      </c>
      <c r="H109" s="668">
        <v>127130</v>
      </c>
      <c r="I109" s="652">
        <f>SUM(G109*H109)/1000</f>
        <v>127.13</v>
      </c>
    </row>
    <row r="110" spans="1:9" ht="13.5" customHeight="1">
      <c r="A110" s="651" t="s">
        <v>53</v>
      </c>
      <c r="B110" s="657"/>
      <c r="C110" s="652">
        <v>265</v>
      </c>
      <c r="D110" s="652">
        <v>494100</v>
      </c>
      <c r="E110" s="652">
        <f>SUM(C110*D110)/1000</f>
        <v>130936.5</v>
      </c>
      <c r="F110" s="657"/>
      <c r="G110" s="652">
        <v>265</v>
      </c>
      <c r="H110" s="652">
        <v>494100</v>
      </c>
      <c r="I110" s="652">
        <f>SUM(G110*H110)/1000</f>
        <v>130936.5</v>
      </c>
    </row>
    <row r="111" spans="1:17" s="648" customFormat="1" ht="13.5" customHeight="1">
      <c r="A111" s="656" t="s">
        <v>54</v>
      </c>
      <c r="B111" s="652"/>
      <c r="C111" s="669">
        <v>7200000</v>
      </c>
      <c r="D111" s="655">
        <v>1.5</v>
      </c>
      <c r="E111" s="652">
        <f>SUM(C111*D111)/1000</f>
        <v>10800</v>
      </c>
      <c r="F111" s="652"/>
      <c r="G111" s="669">
        <v>7200000</v>
      </c>
      <c r="H111" s="655">
        <v>1.5</v>
      </c>
      <c r="I111" s="652">
        <f>SUM(G111*H111)/1000</f>
        <v>10800</v>
      </c>
      <c r="J111" s="647"/>
      <c r="K111" s="647"/>
      <c r="L111" s="647"/>
      <c r="M111" s="647"/>
      <c r="N111" s="647"/>
      <c r="O111" s="647"/>
      <c r="P111" s="647"/>
      <c r="Q111" s="647"/>
    </row>
    <row r="112" spans="1:17" s="648" customFormat="1" ht="13.5" customHeight="1">
      <c r="A112" s="670" t="s">
        <v>55</v>
      </c>
      <c r="B112" s="671"/>
      <c r="C112" s="671"/>
      <c r="D112" s="671"/>
      <c r="E112" s="671">
        <f>SUM(E87:E111)</f>
        <v>3713586.4173000003</v>
      </c>
      <c r="F112" s="671"/>
      <c r="G112" s="671"/>
      <c r="H112" s="671"/>
      <c r="I112" s="671">
        <f>SUM(I87:I111)</f>
        <v>3713586.4173000003</v>
      </c>
      <c r="J112" s="647"/>
      <c r="K112" s="647"/>
      <c r="L112" s="647"/>
      <c r="M112" s="647"/>
      <c r="N112" s="647"/>
      <c r="O112" s="647"/>
      <c r="P112" s="647"/>
      <c r="Q112" s="647"/>
    </row>
    <row r="113" spans="1:17" s="648" customFormat="1" ht="12" customHeight="1">
      <c r="A113" s="651" t="s">
        <v>56</v>
      </c>
      <c r="B113" s="672"/>
      <c r="C113" s="672"/>
      <c r="D113" s="652"/>
      <c r="E113" s="672"/>
      <c r="F113" s="672"/>
      <c r="G113" s="672"/>
      <c r="H113" s="652"/>
      <c r="I113" s="672"/>
      <c r="J113" s="647"/>
      <c r="K113" s="647"/>
      <c r="L113" s="647"/>
      <c r="M113" s="647"/>
      <c r="N113" s="647"/>
      <c r="O113" s="647"/>
      <c r="P113" s="647"/>
      <c r="Q113" s="647"/>
    </row>
    <row r="114" spans="1:17" s="648" customFormat="1" ht="12" customHeight="1">
      <c r="A114" s="651" t="s">
        <v>57</v>
      </c>
      <c r="B114" s="672"/>
      <c r="C114" s="672"/>
      <c r="D114" s="652"/>
      <c r="E114" s="672"/>
      <c r="F114" s="672"/>
      <c r="G114" s="672"/>
      <c r="H114" s="652"/>
      <c r="I114" s="672"/>
      <c r="J114" s="647"/>
      <c r="K114" s="647"/>
      <c r="L114" s="647"/>
      <c r="M114" s="647"/>
      <c r="N114" s="647"/>
      <c r="O114" s="647"/>
      <c r="P114" s="647"/>
      <c r="Q114" s="647"/>
    </row>
    <row r="115" spans="1:17" s="648" customFormat="1" ht="12" customHeight="1">
      <c r="A115" s="662" t="s">
        <v>58</v>
      </c>
      <c r="B115" s="672"/>
      <c r="C115" s="673">
        <v>19</v>
      </c>
      <c r="D115" s="652">
        <v>1200000</v>
      </c>
      <c r="E115" s="672">
        <f>SUM(C115*D115)/1000</f>
        <v>22800</v>
      </c>
      <c r="F115" s="672"/>
      <c r="G115" s="673">
        <v>19</v>
      </c>
      <c r="H115" s="652">
        <v>1200000</v>
      </c>
      <c r="I115" s="672">
        <f>SUM(G115*H115)/1000</f>
        <v>22800</v>
      </c>
      <c r="J115" s="647"/>
      <c r="K115" s="647"/>
      <c r="L115" s="647"/>
      <c r="M115" s="647"/>
      <c r="N115" s="647"/>
      <c r="O115" s="647"/>
      <c r="P115" s="647"/>
      <c r="Q115" s="647"/>
    </row>
    <row r="116" spans="1:17" s="648" customFormat="1" ht="12" customHeight="1">
      <c r="A116" s="662" t="s">
        <v>59</v>
      </c>
      <c r="B116" s="672"/>
      <c r="C116" s="672">
        <v>1018</v>
      </c>
      <c r="D116" s="652">
        <v>6300</v>
      </c>
      <c r="E116" s="672">
        <f>SUM(C116*D116)/1000</f>
        <v>6413.4</v>
      </c>
      <c r="F116" s="672"/>
      <c r="G116" s="672">
        <v>1018</v>
      </c>
      <c r="H116" s="652">
        <v>6300</v>
      </c>
      <c r="I116" s="672">
        <f>SUM(G116*H116)/1000</f>
        <v>6413.4</v>
      </c>
      <c r="J116" s="647"/>
      <c r="K116" s="647"/>
      <c r="L116" s="647"/>
      <c r="M116" s="647"/>
      <c r="N116" s="647"/>
      <c r="O116" s="647"/>
      <c r="P116" s="647"/>
      <c r="Q116" s="647"/>
    </row>
    <row r="117" spans="1:17" s="648" customFormat="1" ht="12" customHeight="1">
      <c r="A117" s="662" t="s">
        <v>60</v>
      </c>
      <c r="B117" s="672"/>
      <c r="C117" s="672">
        <v>437.33</v>
      </c>
      <c r="D117" s="652">
        <v>26000</v>
      </c>
      <c r="E117" s="672">
        <f>SUM(C117*D117)/1000</f>
        <v>11370.58</v>
      </c>
      <c r="F117" s="672"/>
      <c r="G117" s="672">
        <v>437.33</v>
      </c>
      <c r="H117" s="652">
        <v>26000</v>
      </c>
      <c r="I117" s="672">
        <f>SUM(G117*H117)/1000</f>
        <v>11370.58</v>
      </c>
      <c r="J117" s="647"/>
      <c r="K117" s="647"/>
      <c r="L117" s="647"/>
      <c r="M117" s="647"/>
      <c r="N117" s="647"/>
      <c r="O117" s="647"/>
      <c r="P117" s="647"/>
      <c r="Q117" s="647"/>
    </row>
    <row r="118" spans="1:17" s="648" customFormat="1" ht="12" customHeight="1">
      <c r="A118" s="662" t="s">
        <v>61</v>
      </c>
      <c r="B118" s="672"/>
      <c r="C118" s="672">
        <v>51</v>
      </c>
      <c r="D118" s="652">
        <v>65000</v>
      </c>
      <c r="E118" s="672">
        <f>SUM(C118*D118)/1000</f>
        <v>3315</v>
      </c>
      <c r="F118" s="672"/>
      <c r="G118" s="672">
        <v>51</v>
      </c>
      <c r="H118" s="652">
        <v>65000</v>
      </c>
      <c r="I118" s="672">
        <f>SUM(G118*H118)/1000</f>
        <v>3315</v>
      </c>
      <c r="J118" s="647"/>
      <c r="K118" s="647"/>
      <c r="L118" s="647"/>
      <c r="M118" s="647"/>
      <c r="N118" s="647"/>
      <c r="O118" s="647"/>
      <c r="P118" s="647"/>
      <c r="Q118" s="647"/>
    </row>
    <row r="119" spans="1:17" s="648" customFormat="1" ht="12" customHeight="1">
      <c r="A119" s="656" t="s">
        <v>62</v>
      </c>
      <c r="B119" s="652"/>
      <c r="C119" s="652"/>
      <c r="D119" s="652"/>
      <c r="E119" s="652"/>
      <c r="F119" s="652"/>
      <c r="G119" s="652"/>
      <c r="H119" s="652"/>
      <c r="I119" s="652"/>
      <c r="J119" s="647"/>
      <c r="K119" s="647"/>
      <c r="L119" s="647"/>
      <c r="M119" s="647"/>
      <c r="N119" s="647"/>
      <c r="O119" s="647"/>
      <c r="P119" s="647"/>
      <c r="Q119" s="647"/>
    </row>
    <row r="120" spans="1:17" s="648" customFormat="1" ht="12" customHeight="1">
      <c r="A120" s="656" t="s">
        <v>63</v>
      </c>
      <c r="B120" s="652">
        <v>1475</v>
      </c>
      <c r="C120" s="652"/>
      <c r="D120" s="652">
        <v>68000</v>
      </c>
      <c r="E120" s="652">
        <f>SUM(B120*D120)/1000</f>
        <v>100300</v>
      </c>
      <c r="F120" s="652">
        <v>1475</v>
      </c>
      <c r="G120" s="652"/>
      <c r="H120" s="652">
        <v>68000</v>
      </c>
      <c r="I120" s="652">
        <f>SUM(F120*H120)/1000</f>
        <v>100300</v>
      </c>
      <c r="J120" s="813"/>
      <c r="K120" s="647"/>
      <c r="L120" s="647"/>
      <c r="M120" s="647"/>
      <c r="N120" s="647"/>
      <c r="O120" s="647"/>
      <c r="P120" s="647"/>
      <c r="Q120" s="647"/>
    </row>
    <row r="121" spans="1:17" s="648" customFormat="1" ht="12" customHeight="1">
      <c r="A121" s="656" t="s">
        <v>64</v>
      </c>
      <c r="B121" s="652">
        <v>205</v>
      </c>
      <c r="C121" s="652"/>
      <c r="D121" s="652">
        <v>68000</v>
      </c>
      <c r="E121" s="652">
        <f>SUM(B121*D121)/1000</f>
        <v>13940</v>
      </c>
      <c r="F121" s="652">
        <v>205</v>
      </c>
      <c r="G121" s="652"/>
      <c r="H121" s="652">
        <v>68000</v>
      </c>
      <c r="I121" s="652">
        <f>SUM(F121*H121)/1000</f>
        <v>13940</v>
      </c>
      <c r="J121" s="813"/>
      <c r="K121" s="647"/>
      <c r="L121" s="647"/>
      <c r="M121" s="647"/>
      <c r="N121" s="647"/>
      <c r="O121" s="647"/>
      <c r="P121" s="647"/>
      <c r="Q121" s="647"/>
    </row>
    <row r="122" spans="1:17" s="648" customFormat="1" ht="12" customHeight="1">
      <c r="A122" s="656" t="s">
        <v>65</v>
      </c>
      <c r="B122" s="652">
        <v>709</v>
      </c>
      <c r="C122" s="652"/>
      <c r="D122" s="652">
        <v>68000</v>
      </c>
      <c r="E122" s="652">
        <f>SUM(B122*D122)/1000</f>
        <v>48212</v>
      </c>
      <c r="F122" s="652">
        <v>709</v>
      </c>
      <c r="G122" s="652"/>
      <c r="H122" s="652">
        <v>68000</v>
      </c>
      <c r="I122" s="652">
        <f>SUM(F122*H122)/1000</f>
        <v>48212</v>
      </c>
      <c r="J122" s="813"/>
      <c r="K122" s="647"/>
      <c r="L122" s="647"/>
      <c r="M122" s="647"/>
      <c r="N122" s="647"/>
      <c r="O122" s="647"/>
      <c r="P122" s="647"/>
      <c r="Q122" s="647"/>
    </row>
    <row r="123" spans="1:17" s="648" customFormat="1" ht="12" customHeight="1">
      <c r="A123" s="662" t="s">
        <v>66</v>
      </c>
      <c r="B123" s="652">
        <v>3233</v>
      </c>
      <c r="C123" s="652"/>
      <c r="D123" s="652">
        <v>12000</v>
      </c>
      <c r="E123" s="652">
        <f>SUM(B123*D123)/1000</f>
        <v>38796</v>
      </c>
      <c r="F123" s="652">
        <v>3233</v>
      </c>
      <c r="G123" s="652"/>
      <c r="H123" s="652">
        <v>12000</v>
      </c>
      <c r="I123" s="652">
        <f>SUM(F123*H123)/1000</f>
        <v>38796</v>
      </c>
      <c r="J123" s="813"/>
      <c r="K123" s="647"/>
      <c r="L123" s="647"/>
      <c r="M123" s="647"/>
      <c r="N123" s="647"/>
      <c r="O123" s="647"/>
      <c r="P123" s="647"/>
      <c r="Q123" s="647"/>
    </row>
    <row r="124" spans="1:17" s="648" customFormat="1" ht="12" customHeight="1">
      <c r="A124" s="656" t="s">
        <v>67</v>
      </c>
      <c r="B124" s="652">
        <v>8728</v>
      </c>
      <c r="C124" s="652"/>
      <c r="D124" s="652">
        <v>1750</v>
      </c>
      <c r="E124" s="652">
        <f>SUM(B124*D124)/1000</f>
        <v>15274</v>
      </c>
      <c r="F124" s="652">
        <v>8728</v>
      </c>
      <c r="G124" s="652"/>
      <c r="H124" s="652">
        <v>1750</v>
      </c>
      <c r="I124" s="652">
        <f>SUM(F124*H124)/1000</f>
        <v>15274</v>
      </c>
      <c r="J124" s="813"/>
      <c r="K124" s="647"/>
      <c r="L124" s="647"/>
      <c r="M124" s="647"/>
      <c r="N124" s="647"/>
      <c r="O124" s="647"/>
      <c r="P124" s="647"/>
      <c r="Q124" s="647"/>
    </row>
    <row r="125" spans="1:17" s="648" customFormat="1" ht="12" customHeight="1">
      <c r="A125" s="656" t="s">
        <v>68</v>
      </c>
      <c r="B125" s="652"/>
      <c r="C125" s="652"/>
      <c r="D125" s="652"/>
      <c r="E125" s="652"/>
      <c r="F125" s="652"/>
      <c r="G125" s="652"/>
      <c r="H125" s="652"/>
      <c r="I125" s="652"/>
      <c r="J125" s="813"/>
      <c r="K125" s="647"/>
      <c r="L125" s="647"/>
      <c r="M125" s="647"/>
      <c r="N125" s="647"/>
      <c r="O125" s="647"/>
      <c r="P125" s="647"/>
      <c r="Q125" s="647"/>
    </row>
    <row r="126" spans="1:17" s="648" customFormat="1" ht="12" customHeight="1">
      <c r="A126" s="656" t="s">
        <v>69</v>
      </c>
      <c r="B126" s="672"/>
      <c r="C126" s="672">
        <v>170</v>
      </c>
      <c r="D126" s="652">
        <v>1640</v>
      </c>
      <c r="E126" s="672">
        <f>SUM(C126*D126)/1000</f>
        <v>278.8</v>
      </c>
      <c r="F126" s="672"/>
      <c r="G126" s="672">
        <v>170</v>
      </c>
      <c r="H126" s="652">
        <v>1640</v>
      </c>
      <c r="I126" s="672">
        <f>SUM(G126*H126)/1000</f>
        <v>278.8</v>
      </c>
      <c r="J126" s="813"/>
      <c r="K126" s="647"/>
      <c r="L126" s="647"/>
      <c r="M126" s="647"/>
      <c r="N126" s="647"/>
      <c r="O126" s="647"/>
      <c r="P126" s="647"/>
      <c r="Q126" s="647"/>
    </row>
    <row r="127" spans="1:17" s="648" customFormat="1" ht="12" customHeight="1">
      <c r="A127" s="651" t="s">
        <v>70</v>
      </c>
      <c r="B127" s="672"/>
      <c r="C127" s="652">
        <v>20</v>
      </c>
      <c r="D127" s="652">
        <v>68000</v>
      </c>
      <c r="E127" s="652">
        <f>SUM(C127*D127)/1000</f>
        <v>1360</v>
      </c>
      <c r="F127" s="672"/>
      <c r="G127" s="652">
        <v>20</v>
      </c>
      <c r="H127" s="652">
        <v>68000</v>
      </c>
      <c r="I127" s="652">
        <f>SUM(G127*H127)/1000</f>
        <v>1360</v>
      </c>
      <c r="J127" s="813"/>
      <c r="K127" s="647"/>
      <c r="L127" s="647"/>
      <c r="M127" s="647"/>
      <c r="N127" s="647"/>
      <c r="O127" s="647"/>
      <c r="P127" s="647"/>
      <c r="Q127" s="647"/>
    </row>
    <row r="128" spans="1:9" ht="12" customHeight="1">
      <c r="A128" s="674" t="s">
        <v>71</v>
      </c>
      <c r="B128" s="675"/>
      <c r="C128" s="675"/>
      <c r="D128" s="675"/>
      <c r="E128" s="675">
        <f>SUM(E115:E127)</f>
        <v>262059.78</v>
      </c>
      <c r="F128" s="675"/>
      <c r="G128" s="675"/>
      <c r="H128" s="675"/>
      <c r="I128" s="675">
        <f>SUM(I115:I127)</f>
        <v>262059.78</v>
      </c>
    </row>
    <row r="129" spans="1:9" ht="25.5" customHeight="1">
      <c r="A129" s="676" t="s">
        <v>72</v>
      </c>
      <c r="B129" s="677"/>
      <c r="C129" s="677"/>
      <c r="D129" s="677"/>
      <c r="E129" s="677">
        <f>SUM(E112+E128)</f>
        <v>3975646.1973</v>
      </c>
      <c r="F129" s="677"/>
      <c r="G129" s="677"/>
      <c r="H129" s="677"/>
      <c r="I129" s="677">
        <f>SUM(I112+I128)</f>
        <v>3975646.1973</v>
      </c>
    </row>
    <row r="130" spans="1:9" ht="13.5" customHeight="1">
      <c r="A130" s="674" t="s">
        <v>73</v>
      </c>
      <c r="B130" s="678"/>
      <c r="C130" s="678"/>
      <c r="D130" s="679"/>
      <c r="E130" s="679">
        <v>776750</v>
      </c>
      <c r="F130" s="678"/>
      <c r="G130" s="678"/>
      <c r="H130" s="679"/>
      <c r="I130" s="679">
        <v>776750</v>
      </c>
    </row>
    <row r="131" spans="1:9" ht="13.5" customHeight="1">
      <c r="A131" s="670" t="s">
        <v>74</v>
      </c>
      <c r="B131" s="680"/>
      <c r="C131" s="680"/>
      <c r="D131" s="680"/>
      <c r="E131" s="680">
        <f>SUM(E129:E130)</f>
        <v>4752396.1973</v>
      </c>
      <c r="F131" s="680"/>
      <c r="G131" s="680"/>
      <c r="H131" s="680"/>
      <c r="I131" s="680">
        <f>SUM(I129:I130)</f>
        <v>4752396.1973</v>
      </c>
    </row>
    <row r="132" spans="1:9" ht="13.5" customHeight="1">
      <c r="A132" s="681" t="s">
        <v>75</v>
      </c>
      <c r="B132" s="675"/>
      <c r="C132" s="675"/>
      <c r="D132" s="675"/>
      <c r="E132" s="675"/>
      <c r="F132" s="675"/>
      <c r="G132" s="675"/>
      <c r="H132" s="675"/>
      <c r="I132" s="675"/>
    </row>
    <row r="133" spans="1:9" ht="13.5" customHeight="1">
      <c r="A133" s="681" t="s">
        <v>76</v>
      </c>
      <c r="B133" s="675"/>
      <c r="C133" s="675"/>
      <c r="D133" s="675"/>
      <c r="E133" s="675">
        <v>231800</v>
      </c>
      <c r="F133" s="675"/>
      <c r="G133" s="675"/>
      <c r="H133" s="675"/>
      <c r="I133" s="675">
        <v>231800</v>
      </c>
    </row>
    <row r="134" spans="1:9" ht="13.5" customHeight="1">
      <c r="A134" s="681" t="s">
        <v>77</v>
      </c>
      <c r="B134" s="675"/>
      <c r="C134" s="675"/>
      <c r="D134" s="675"/>
      <c r="E134" s="675">
        <v>700</v>
      </c>
      <c r="F134" s="675"/>
      <c r="G134" s="675"/>
      <c r="H134" s="675"/>
      <c r="I134" s="675">
        <v>700</v>
      </c>
    </row>
    <row r="135" spans="1:9" ht="13.5" customHeight="1">
      <c r="A135" s="681" t="s">
        <v>162</v>
      </c>
      <c r="B135" s="675"/>
      <c r="C135" s="675"/>
      <c r="D135" s="675"/>
      <c r="E135" s="675"/>
      <c r="F135" s="675"/>
      <c r="G135" s="675"/>
      <c r="H135" s="675"/>
      <c r="I135" s="675">
        <v>154707</v>
      </c>
    </row>
    <row r="136" spans="1:9" ht="13.5" customHeight="1">
      <c r="A136" s="681" t="s">
        <v>163</v>
      </c>
      <c r="B136" s="675"/>
      <c r="C136" s="675"/>
      <c r="D136" s="675"/>
      <c r="E136" s="675"/>
      <c r="F136" s="675"/>
      <c r="G136" s="675"/>
      <c r="H136" s="675"/>
      <c r="I136" s="675">
        <v>52847</v>
      </c>
    </row>
    <row r="137" spans="1:9" ht="13.5" customHeight="1">
      <c r="A137" s="681" t="s">
        <v>268</v>
      </c>
      <c r="B137" s="675"/>
      <c r="C137" s="675"/>
      <c r="D137" s="675"/>
      <c r="E137" s="675"/>
      <c r="F137" s="675"/>
      <c r="G137" s="675"/>
      <c r="H137" s="675"/>
      <c r="I137" s="675">
        <v>86080</v>
      </c>
    </row>
    <row r="138" spans="1:9" ht="13.5" customHeight="1">
      <c r="A138" s="670" t="s">
        <v>78</v>
      </c>
      <c r="B138" s="680"/>
      <c r="C138" s="680"/>
      <c r="D138" s="680"/>
      <c r="E138" s="680">
        <f>SUM(E131:E134)</f>
        <v>4984896.1973</v>
      </c>
      <c r="F138" s="680"/>
      <c r="G138" s="680"/>
      <c r="H138" s="680"/>
      <c r="I138" s="680">
        <f>SUM(I131:I137)</f>
        <v>5278530.1973</v>
      </c>
    </row>
    <row r="139" spans="1:9" ht="12.75" customHeight="1">
      <c r="A139" s="682"/>
      <c r="B139" s="682"/>
      <c r="C139" s="682"/>
      <c r="D139" s="682"/>
      <c r="E139" s="682"/>
      <c r="F139" s="682"/>
      <c r="G139" s="682"/>
      <c r="H139" s="682"/>
      <c r="I139" s="682"/>
    </row>
    <row r="140" spans="1:9" ht="18" customHeight="1">
      <c r="A140" s="683"/>
      <c r="B140" s="683"/>
      <c r="C140" s="683"/>
      <c r="D140" s="683"/>
      <c r="E140" s="683"/>
      <c r="F140" s="684"/>
      <c r="G140" s="684"/>
      <c r="H140" s="684"/>
      <c r="I140" s="684"/>
    </row>
    <row r="141" ht="12" hidden="1"/>
    <row r="142" ht="12" hidden="1"/>
  </sheetData>
  <sheetProtection selectLockedCells="1" selectUnlockedCells="1"/>
  <mergeCells count="3">
    <mergeCell ref="F1:I1"/>
    <mergeCell ref="J120:J127"/>
    <mergeCell ref="B1:E1"/>
  </mergeCells>
  <printOptions horizontalCentered="1"/>
  <pageMargins left="0.07847222222222222" right="0.07847222222222222" top="0.7090277777777778" bottom="0.8270833333333333" header="0.39375" footer="0.5118055555555555"/>
  <pageSetup horizontalDpi="300" verticalDpi="300" orientation="portrait" paperSize="9" scale="65" r:id="rId1"/>
  <headerFooter alignWithMargins="0">
    <oddHeader>&amp;C&amp;"MS Sans Serif,Félkövér dőlt"ÁLLAMI HOZZÁJÁRULÁSOK  ÉS SZJA BEVÉTEL 2012. ÉVBEN&amp;R3. sz. melléklet
Adatok: eFt-ban</oddHeader>
    <oddFooter>&amp;C&amp;P</oddFooter>
  </headerFooter>
  <rowBreaks count="1" manualBreakCount="1">
    <brk id="1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B1">
      <pane ySplit="2" topLeftCell="BM3" activePane="bottomLeft" state="frozen"/>
      <selection pane="topLeft" activeCell="A1" sqref="A1"/>
      <selection pane="bottomLeft" activeCell="J17" sqref="J17:K17"/>
    </sheetView>
  </sheetViews>
  <sheetFormatPr defaultColWidth="9.00390625" defaultRowHeight="12.75"/>
  <cols>
    <col min="1" max="1" width="6.50390625" style="81" customWidth="1"/>
    <col min="2" max="2" width="7.00390625" style="81" customWidth="1"/>
    <col min="3" max="3" width="32.00390625" style="81" customWidth="1"/>
    <col min="4" max="4" width="10.375" style="81" customWidth="1"/>
    <col min="5" max="5" width="9.50390625" style="81" customWidth="1"/>
    <col min="6" max="6" width="11.625" style="81" customWidth="1"/>
    <col min="7" max="7" width="10.375" style="81" customWidth="1"/>
    <col min="8" max="8" width="11.375" style="81" customWidth="1"/>
    <col min="9" max="9" width="12.00390625" style="81" customWidth="1"/>
    <col min="10" max="11" width="10.875" style="81" customWidth="1"/>
    <col min="12" max="12" width="10.125" style="81" customWidth="1"/>
    <col min="13" max="13" width="11.875" style="81" customWidth="1"/>
    <col min="14" max="14" width="10.875" style="81" customWidth="1"/>
    <col min="15" max="15" width="13.00390625" style="81" customWidth="1"/>
    <col min="16" max="16384" width="9.375" style="81" customWidth="1"/>
  </cols>
  <sheetData>
    <row r="1" spans="1:15" ht="15" customHeight="1">
      <c r="A1" s="814" t="s">
        <v>484</v>
      </c>
      <c r="B1" s="814" t="s">
        <v>485</v>
      </c>
      <c r="C1" s="826" t="s">
        <v>181</v>
      </c>
      <c r="D1" s="819" t="s">
        <v>486</v>
      </c>
      <c r="E1" s="823"/>
      <c r="F1" s="829" t="s">
        <v>607</v>
      </c>
      <c r="G1" s="819" t="s">
        <v>608</v>
      </c>
      <c r="H1" s="820"/>
      <c r="I1" s="817" t="s">
        <v>187</v>
      </c>
      <c r="J1" s="834" t="s">
        <v>246</v>
      </c>
      <c r="K1" s="835"/>
      <c r="L1" s="836"/>
      <c r="M1" s="108"/>
      <c r="N1" s="829" t="s">
        <v>491</v>
      </c>
      <c r="O1" s="832" t="s">
        <v>193</v>
      </c>
    </row>
    <row r="2" spans="1:15" s="82" customFormat="1" ht="42" customHeight="1" thickBot="1">
      <c r="A2" s="815"/>
      <c r="B2" s="815"/>
      <c r="C2" s="827"/>
      <c r="D2" s="824"/>
      <c r="E2" s="825"/>
      <c r="F2" s="830"/>
      <c r="G2" s="821"/>
      <c r="H2" s="822"/>
      <c r="I2" s="830"/>
      <c r="J2" s="833" t="s">
        <v>487</v>
      </c>
      <c r="K2" s="817" t="s">
        <v>488</v>
      </c>
      <c r="L2" s="817" t="s">
        <v>489</v>
      </c>
      <c r="M2" s="833" t="s">
        <v>490</v>
      </c>
      <c r="N2" s="830"/>
      <c r="O2" s="830"/>
    </row>
    <row r="3" spans="1:15" s="82" customFormat="1" ht="27.75" customHeight="1" thickBot="1">
      <c r="A3" s="816"/>
      <c r="B3" s="816"/>
      <c r="C3" s="828"/>
      <c r="D3" s="448" t="s">
        <v>931</v>
      </c>
      <c r="E3" s="448" t="s">
        <v>245</v>
      </c>
      <c r="F3" s="831"/>
      <c r="G3" s="448" t="s">
        <v>244</v>
      </c>
      <c r="H3" s="448" t="s">
        <v>609</v>
      </c>
      <c r="I3" s="831"/>
      <c r="J3" s="818"/>
      <c r="K3" s="818"/>
      <c r="L3" s="818"/>
      <c r="M3" s="818"/>
      <c r="N3" s="831"/>
      <c r="O3" s="831"/>
    </row>
    <row r="4" spans="1:15" ht="16.5" customHeight="1">
      <c r="A4" s="449"/>
      <c r="B4" s="449"/>
      <c r="C4" s="110" t="s">
        <v>610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16.5" customHeight="1">
      <c r="A5" s="111"/>
      <c r="B5" s="111">
        <v>12</v>
      </c>
      <c r="C5" s="110" t="s">
        <v>492</v>
      </c>
      <c r="D5" s="112">
        <f>5080+'11'!D8</f>
        <v>5080</v>
      </c>
      <c r="E5" s="112">
        <f>0+'11'!E8</f>
        <v>0</v>
      </c>
      <c r="F5" s="112">
        <f>0+'11'!F8</f>
        <v>0</v>
      </c>
      <c r="G5" s="112">
        <f>28450+'11'!G8</f>
        <v>28450</v>
      </c>
      <c r="H5" s="112">
        <f>0+'11'!H8</f>
        <v>0</v>
      </c>
      <c r="I5" s="112">
        <f>0+'11'!I8</f>
        <v>0</v>
      </c>
      <c r="J5" s="112">
        <f>0+'11'!J8</f>
        <v>0</v>
      </c>
      <c r="K5" s="112">
        <f>18244+'11'!K8</f>
        <v>20353</v>
      </c>
      <c r="L5" s="112">
        <f>55973+'11'!L8</f>
        <v>55973</v>
      </c>
      <c r="M5" s="112">
        <f>0+'11'!M8</f>
        <v>0</v>
      </c>
      <c r="N5" s="112">
        <f>0+'11'!N8</f>
        <v>0</v>
      </c>
      <c r="O5" s="112">
        <f aca="true" t="shared" si="0" ref="O5:O14">SUM(D5:N5)</f>
        <v>109856</v>
      </c>
    </row>
    <row r="6" spans="1:15" ht="16.5" customHeight="1">
      <c r="A6" s="111"/>
      <c r="B6" s="111">
        <v>13</v>
      </c>
      <c r="C6" s="110" t="s">
        <v>493</v>
      </c>
      <c r="D6" s="112">
        <f>0+'11'!D12</f>
        <v>0</v>
      </c>
      <c r="E6" s="112">
        <f>0+'11'!E12</f>
        <v>0</v>
      </c>
      <c r="F6" s="112">
        <f>0+'11'!F12</f>
        <v>0</v>
      </c>
      <c r="G6" s="112">
        <f>0+'11'!G12</f>
        <v>0</v>
      </c>
      <c r="H6" s="112">
        <f>0+'11'!H12</f>
        <v>0</v>
      </c>
      <c r="I6" s="112">
        <f>0+'11'!I12</f>
        <v>0</v>
      </c>
      <c r="J6" s="112">
        <f>0+'11'!J12</f>
        <v>0</v>
      </c>
      <c r="K6" s="112">
        <f>0+'11'!K12</f>
        <v>500</v>
      </c>
      <c r="L6" s="112">
        <f>269759+'11'!L12</f>
        <v>269759</v>
      </c>
      <c r="M6" s="112">
        <f>0+'11'!M12</f>
        <v>0</v>
      </c>
      <c r="N6" s="112">
        <f>0+'11'!N12</f>
        <v>0</v>
      </c>
      <c r="O6" s="112">
        <f t="shared" si="0"/>
        <v>270259</v>
      </c>
    </row>
    <row r="7" spans="1:15" ht="16.5" customHeight="1">
      <c r="A7" s="111"/>
      <c r="B7" s="111">
        <v>14</v>
      </c>
      <c r="C7" s="110" t="s">
        <v>494</v>
      </c>
      <c r="D7" s="112">
        <f>0+'11'!D16</f>
        <v>0</v>
      </c>
      <c r="E7" s="112">
        <f>0+'11'!E16</f>
        <v>0</v>
      </c>
      <c r="F7" s="112">
        <f>0+'11'!F16</f>
        <v>0</v>
      </c>
      <c r="G7" s="112">
        <f>0+'11'!G16</f>
        <v>0</v>
      </c>
      <c r="H7" s="112">
        <f>0+'11'!H16</f>
        <v>0</v>
      </c>
      <c r="I7" s="112">
        <f>0+'11'!I16</f>
        <v>0</v>
      </c>
      <c r="J7" s="112">
        <f>0+'11'!J16</f>
        <v>0</v>
      </c>
      <c r="K7" s="112">
        <f>0+'11'!K16</f>
        <v>0</v>
      </c>
      <c r="L7" s="112">
        <f>0+'11'!L16</f>
        <v>0</v>
      </c>
      <c r="M7" s="112">
        <f>0+'11'!M16</f>
        <v>29000</v>
      </c>
      <c r="N7" s="112">
        <f>0+'11'!N16</f>
        <v>0</v>
      </c>
      <c r="O7" s="112">
        <f t="shared" si="0"/>
        <v>29000</v>
      </c>
    </row>
    <row r="8" spans="1:15" ht="16.5" customHeight="1">
      <c r="A8" s="111"/>
      <c r="B8" s="111">
        <v>15</v>
      </c>
      <c r="C8" s="110" t="s">
        <v>195</v>
      </c>
      <c r="D8" s="112">
        <f>222919+'11'!D29</f>
        <v>235526</v>
      </c>
      <c r="E8" s="112">
        <f>0+'11'!E29</f>
        <v>0</v>
      </c>
      <c r="F8" s="112">
        <f>0+'11'!F29</f>
        <v>0</v>
      </c>
      <c r="G8" s="112">
        <f>0+'11'!G29</f>
        <v>0</v>
      </c>
      <c r="H8" s="112">
        <f>0+'11'!H29</f>
        <v>954</v>
      </c>
      <c r="I8" s="112">
        <f>0+'11'!I29</f>
        <v>0</v>
      </c>
      <c r="J8" s="112">
        <f>0+'11'!J29</f>
        <v>0</v>
      </c>
      <c r="K8" s="112">
        <f>0+'11'!K29</f>
        <v>0</v>
      </c>
      <c r="L8" s="112">
        <f>84266+'11'!L29</f>
        <v>137477</v>
      </c>
      <c r="M8" s="112">
        <f>0+'11'!M29</f>
        <v>0</v>
      </c>
      <c r="N8" s="112">
        <f>0+'11'!N29</f>
        <v>0</v>
      </c>
      <c r="O8" s="112">
        <f t="shared" si="0"/>
        <v>373957</v>
      </c>
    </row>
    <row r="9" spans="1:15" ht="16.5" customHeight="1">
      <c r="A9" s="111"/>
      <c r="B9" s="111">
        <v>16</v>
      </c>
      <c r="C9" s="110" t="s">
        <v>495</v>
      </c>
      <c r="D9" s="112">
        <f>4354+'11'!D37</f>
        <v>4354</v>
      </c>
      <c r="E9" s="112">
        <f>0+'11'!E37</f>
        <v>0</v>
      </c>
      <c r="F9" s="112">
        <f>0+'11'!F37</f>
        <v>0</v>
      </c>
      <c r="G9" s="112">
        <f>125600+'11'!G37</f>
        <v>125600</v>
      </c>
      <c r="H9" s="112">
        <f>405000+'11'!H37</f>
        <v>405000</v>
      </c>
      <c r="I9" s="112">
        <f>0+'11'!I37</f>
        <v>0</v>
      </c>
      <c r="J9" s="112">
        <f>0+'11'!J37</f>
        <v>0</v>
      </c>
      <c r="K9" s="112">
        <f>0+'11'!K37</f>
        <v>0</v>
      </c>
      <c r="L9" s="112">
        <f>711704+'11'!L37</f>
        <v>933106</v>
      </c>
      <c r="M9" s="112">
        <f>0+'11'!M37</f>
        <v>0</v>
      </c>
      <c r="N9" s="112">
        <f>0+'11'!N37</f>
        <v>0</v>
      </c>
      <c r="O9" s="112">
        <f t="shared" si="0"/>
        <v>1468060</v>
      </c>
    </row>
    <row r="10" spans="1:15" ht="16.5" customHeight="1">
      <c r="A10" s="111"/>
      <c r="B10" s="111">
        <v>17</v>
      </c>
      <c r="C10" s="110" t="s">
        <v>197</v>
      </c>
      <c r="D10" s="112">
        <f>266424+'11'!D46</f>
        <v>282857</v>
      </c>
      <c r="E10" s="112">
        <f>0+'11'!E46</f>
        <v>0</v>
      </c>
      <c r="F10" s="112">
        <f>100000+'11'!F46</f>
        <v>100000</v>
      </c>
      <c r="G10" s="112">
        <f>357892+'11'!G46</f>
        <v>370392</v>
      </c>
      <c r="H10" s="112">
        <f>0+'11'!H46</f>
        <v>0</v>
      </c>
      <c r="I10" s="112">
        <f>0+'11'!I46</f>
        <v>0</v>
      </c>
      <c r="J10" s="112">
        <f>0+'11'!J46</f>
        <v>0</v>
      </c>
      <c r="K10" s="112">
        <f>0+'11'!K46</f>
        <v>0</v>
      </c>
      <c r="L10" s="112">
        <f>0+'11'!L46</f>
        <v>0</v>
      </c>
      <c r="M10" s="112">
        <f>20000+'11'!M46</f>
        <v>20000</v>
      </c>
      <c r="N10" s="112">
        <f>276570+'11'!N46</f>
        <v>311823</v>
      </c>
      <c r="O10" s="112">
        <f t="shared" si="0"/>
        <v>1085072</v>
      </c>
    </row>
    <row r="11" spans="1:15" ht="16.5" customHeight="1">
      <c r="A11" s="111"/>
      <c r="B11" s="111">
        <v>18</v>
      </c>
      <c r="C11" s="110" t="s">
        <v>496</v>
      </c>
      <c r="D11" s="112">
        <f>220230+'11'!D49</f>
        <v>220230</v>
      </c>
      <c r="E11" s="112">
        <f>0+'11'!E49</f>
        <v>0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>
        <f t="shared" si="0"/>
        <v>220230</v>
      </c>
    </row>
    <row r="12" spans="1:15" ht="16.5" customHeight="1">
      <c r="A12" s="111"/>
      <c r="B12" s="111">
        <v>19</v>
      </c>
      <c r="C12" s="110" t="s">
        <v>198</v>
      </c>
      <c r="D12" s="112">
        <f>95755+'11'!D65</f>
        <v>191632</v>
      </c>
      <c r="E12" s="112">
        <f>0+'11'!E65</f>
        <v>19362</v>
      </c>
      <c r="F12" s="112">
        <f>5327950+'11'!F65</f>
        <v>5327950</v>
      </c>
      <c r="G12" s="112">
        <f>0+'11'!G65</f>
        <v>0</v>
      </c>
      <c r="H12" s="112">
        <f>0+'11'!H65</f>
        <v>0</v>
      </c>
      <c r="I12" s="112">
        <f>4336658+'11'!I65</f>
        <v>4501780</v>
      </c>
      <c r="J12" s="112">
        <f>0+'11'!J65</f>
        <v>0</v>
      </c>
      <c r="K12" s="112">
        <f>74639+'11'!K65</f>
        <v>58800</v>
      </c>
      <c r="L12" s="112">
        <f>0+'11'!L65</f>
        <v>0</v>
      </c>
      <c r="M12" s="112">
        <f>921508+'11'!M65</f>
        <v>922538</v>
      </c>
      <c r="N12" s="112">
        <f>1137826+'11'!N65</f>
        <v>1372439</v>
      </c>
      <c r="O12" s="112">
        <f t="shared" si="0"/>
        <v>12394501</v>
      </c>
    </row>
    <row r="13" spans="1:15" ht="16.5" customHeight="1">
      <c r="A13" s="111"/>
      <c r="B13" s="111">
        <v>20</v>
      </c>
      <c r="C13" s="48" t="s">
        <v>85</v>
      </c>
      <c r="D13" s="112"/>
      <c r="E13" s="112"/>
      <c r="F13" s="112">
        <f>2520+'11'!F66</f>
        <v>2520</v>
      </c>
      <c r="G13" s="112"/>
      <c r="H13" s="112"/>
      <c r="I13" s="112"/>
      <c r="J13" s="112"/>
      <c r="K13" s="112">
        <f>0+'11'!K66</f>
        <v>0</v>
      </c>
      <c r="L13" s="112"/>
      <c r="M13" s="112"/>
      <c r="N13" s="112"/>
      <c r="O13" s="112">
        <f t="shared" si="0"/>
        <v>2520</v>
      </c>
    </row>
    <row r="14" spans="1:15" ht="16.5" customHeight="1">
      <c r="A14" s="111"/>
      <c r="B14" s="111">
        <v>21</v>
      </c>
      <c r="C14" s="110" t="s">
        <v>93</v>
      </c>
      <c r="D14" s="112">
        <f>10675+'11'!D69</f>
        <v>10675</v>
      </c>
      <c r="E14" s="112">
        <f>0+'11'!E69</f>
        <v>0</v>
      </c>
      <c r="F14" s="112">
        <f>0+'11'!F69</f>
        <v>0</v>
      </c>
      <c r="G14" s="112">
        <f>0+'11'!G69</f>
        <v>0</v>
      </c>
      <c r="H14" s="112">
        <f>0+'11'!H69</f>
        <v>0</v>
      </c>
      <c r="I14" s="112">
        <f>0+'11'!I69</f>
        <v>0</v>
      </c>
      <c r="J14" s="112">
        <f>0+'11'!J69</f>
        <v>0</v>
      </c>
      <c r="K14" s="112">
        <f>4480+'11'!K69</f>
        <v>4480</v>
      </c>
      <c r="L14" s="112"/>
      <c r="M14" s="112"/>
      <c r="N14" s="112"/>
      <c r="O14" s="112">
        <f t="shared" si="0"/>
        <v>15155</v>
      </c>
    </row>
    <row r="15" spans="1:15" ht="27.75" customHeight="1">
      <c r="A15" s="113"/>
      <c r="B15" s="113"/>
      <c r="C15" s="542" t="s">
        <v>611</v>
      </c>
      <c r="D15" s="450">
        <f aca="true" t="shared" si="1" ref="D15:I15">SUM(D5:D14)</f>
        <v>950354</v>
      </c>
      <c r="E15" s="450">
        <f t="shared" si="1"/>
        <v>19362</v>
      </c>
      <c r="F15" s="450">
        <f t="shared" si="1"/>
        <v>5430470</v>
      </c>
      <c r="G15" s="450">
        <f t="shared" si="1"/>
        <v>524442</v>
      </c>
      <c r="H15" s="450">
        <f t="shared" si="1"/>
        <v>405954</v>
      </c>
      <c r="I15" s="450">
        <f t="shared" si="1"/>
        <v>4501780</v>
      </c>
      <c r="J15" s="450"/>
      <c r="K15" s="450">
        <f>SUM(K5:K14)</f>
        <v>84133</v>
      </c>
      <c r="L15" s="450">
        <f>SUM(L5:L14)</f>
        <v>1396315</v>
      </c>
      <c r="M15" s="450">
        <f>SUM(M5:M14)</f>
        <v>971538</v>
      </c>
      <c r="N15" s="450">
        <f>SUM(N5:N14)</f>
        <v>1684262</v>
      </c>
      <c r="O15" s="450">
        <f>SUM(O5:O14)</f>
        <v>15968610</v>
      </c>
    </row>
    <row r="16" spans="1:15" ht="16.5" customHeight="1">
      <c r="A16" s="115">
        <v>2</v>
      </c>
      <c r="B16" s="115"/>
      <c r="C16" s="110" t="s">
        <v>200</v>
      </c>
      <c r="D16" s="112">
        <f>1488907+'11'!D71</f>
        <v>1550984</v>
      </c>
      <c r="E16" s="112">
        <f>63387+'11'!E71</f>
        <v>72563</v>
      </c>
      <c r="F16" s="112">
        <f>0+'11'!F71</f>
        <v>0</v>
      </c>
      <c r="G16" s="112">
        <f>8100+'11'!G71</f>
        <v>8328</v>
      </c>
      <c r="H16" s="112">
        <f>48258+'11'!H71</f>
        <v>61479</v>
      </c>
      <c r="I16" s="112"/>
      <c r="J16" s="112">
        <f>217882+'11'!J71</f>
        <v>217882</v>
      </c>
      <c r="K16" s="112">
        <f>321023+'11'!K71</f>
        <v>409017</v>
      </c>
      <c r="L16" s="112">
        <f>5699+'11'!L71</f>
        <v>13893</v>
      </c>
      <c r="M16" s="112"/>
      <c r="N16" s="112">
        <f>162621+'11'!N71</f>
        <v>398742</v>
      </c>
      <c r="O16" s="112">
        <f>SUM(D16:N16)</f>
        <v>2732888</v>
      </c>
    </row>
    <row r="17" spans="1:15" ht="16.5" customHeight="1">
      <c r="A17" s="113"/>
      <c r="B17" s="113"/>
      <c r="C17" s="114" t="s">
        <v>476</v>
      </c>
      <c r="D17" s="450">
        <f aca="true" t="shared" si="2" ref="D17:O17">SUM(D15:D16)</f>
        <v>2501338</v>
      </c>
      <c r="E17" s="450">
        <f t="shared" si="2"/>
        <v>91925</v>
      </c>
      <c r="F17" s="450">
        <f t="shared" si="2"/>
        <v>5430470</v>
      </c>
      <c r="G17" s="450">
        <f t="shared" si="2"/>
        <v>532770</v>
      </c>
      <c r="H17" s="450">
        <f t="shared" si="2"/>
        <v>467433</v>
      </c>
      <c r="I17" s="450">
        <f t="shared" si="2"/>
        <v>4501780</v>
      </c>
      <c r="J17" s="450">
        <f t="shared" si="2"/>
        <v>217882</v>
      </c>
      <c r="K17" s="450">
        <f t="shared" si="2"/>
        <v>493150</v>
      </c>
      <c r="L17" s="450">
        <f t="shared" si="2"/>
        <v>1410208</v>
      </c>
      <c r="M17" s="450">
        <f t="shared" si="2"/>
        <v>971538</v>
      </c>
      <c r="N17" s="450">
        <f t="shared" si="2"/>
        <v>2083004</v>
      </c>
      <c r="O17" s="450">
        <f t="shared" si="2"/>
        <v>18701498</v>
      </c>
    </row>
    <row r="18" spans="3:12" ht="16.5" customHeight="1">
      <c r="C18" s="83"/>
      <c r="D18" s="84"/>
      <c r="E18" s="84"/>
      <c r="F18" s="84"/>
      <c r="G18" s="84"/>
      <c r="H18" s="84"/>
      <c r="I18" s="84"/>
      <c r="J18" s="84"/>
      <c r="K18" s="84"/>
      <c r="L18" s="84"/>
    </row>
    <row r="19" spans="3:11" ht="13.5" customHeight="1">
      <c r="C19" s="83"/>
      <c r="D19" s="84"/>
      <c r="E19" s="84"/>
      <c r="F19" s="84"/>
      <c r="G19" s="84"/>
      <c r="H19" s="84"/>
      <c r="I19" s="84"/>
      <c r="J19" s="84"/>
      <c r="K19" s="84"/>
    </row>
    <row r="20" spans="4:11" ht="13.5" customHeight="1">
      <c r="D20" s="84"/>
      <c r="E20" s="84"/>
      <c r="F20" s="84"/>
      <c r="G20" s="84"/>
      <c r="H20" s="84"/>
      <c r="I20" s="84"/>
      <c r="J20" s="84"/>
      <c r="K20" s="84"/>
    </row>
    <row r="21" spans="4:11" ht="13.5" customHeight="1">
      <c r="D21" s="84"/>
      <c r="E21" s="84"/>
      <c r="F21" s="84"/>
      <c r="G21" s="84"/>
      <c r="H21" s="84"/>
      <c r="I21" s="84"/>
      <c r="J21" s="84"/>
      <c r="K21" s="84"/>
    </row>
    <row r="22" spans="4:11" ht="13.5" customHeight="1">
      <c r="D22" s="84"/>
      <c r="E22" s="84"/>
      <c r="F22" s="84"/>
      <c r="G22" s="84"/>
      <c r="H22" s="84"/>
      <c r="I22" s="84"/>
      <c r="J22" s="84"/>
      <c r="K22" s="84"/>
    </row>
    <row r="23" spans="4:11" ht="13.5" customHeight="1">
      <c r="D23" s="84"/>
      <c r="E23" s="84"/>
      <c r="F23" s="84"/>
      <c r="G23" s="84"/>
      <c r="H23" s="84"/>
      <c r="I23" s="84"/>
      <c r="J23" s="84"/>
      <c r="K23" s="84"/>
    </row>
    <row r="24" spans="4:11" ht="13.5" customHeight="1">
      <c r="D24" s="84"/>
      <c r="E24" s="84"/>
      <c r="F24" s="84"/>
      <c r="G24" s="84"/>
      <c r="H24" s="84"/>
      <c r="I24" s="84"/>
      <c r="J24" s="84"/>
      <c r="K24" s="84"/>
    </row>
    <row r="25" spans="4:11" ht="13.5" customHeight="1">
      <c r="D25" s="84"/>
      <c r="E25" s="84"/>
      <c r="F25" s="84"/>
      <c r="G25" s="84"/>
      <c r="H25" s="84"/>
      <c r="I25" s="84"/>
      <c r="J25" s="84"/>
      <c r="K25" s="84"/>
    </row>
    <row r="26" spans="4:11" ht="13.5" customHeight="1">
      <c r="D26" s="84"/>
      <c r="E26" s="84"/>
      <c r="F26" s="84"/>
      <c r="G26" s="84"/>
      <c r="H26" s="84"/>
      <c r="I26" s="84"/>
      <c r="J26" s="84"/>
      <c r="K26" s="84"/>
    </row>
    <row r="27" spans="4:11" ht="13.5" customHeight="1">
      <c r="D27" s="84"/>
      <c r="E27" s="84"/>
      <c r="F27" s="84"/>
      <c r="G27" s="84"/>
      <c r="H27" s="84"/>
      <c r="I27" s="84"/>
      <c r="J27" s="84"/>
      <c r="K27" s="84"/>
    </row>
    <row r="28" ht="13.5" customHeight="1"/>
    <row r="29" ht="13.5" customHeight="1"/>
    <row r="30" ht="13.5" customHeight="1"/>
  </sheetData>
  <mergeCells count="14">
    <mergeCell ref="O1:O3"/>
    <mergeCell ref="I1:I3"/>
    <mergeCell ref="J2:J3"/>
    <mergeCell ref="M2:M3"/>
    <mergeCell ref="N1:N3"/>
    <mergeCell ref="J1:L1"/>
    <mergeCell ref="A1:A3"/>
    <mergeCell ref="B1:B3"/>
    <mergeCell ref="K2:K3"/>
    <mergeCell ref="L2:L3"/>
    <mergeCell ref="G1:H2"/>
    <mergeCell ref="D1:E2"/>
    <mergeCell ref="C1:C3"/>
    <mergeCell ref="F1:F3"/>
  </mergeCells>
  <printOptions horizontalCentered="1"/>
  <pageMargins left="0.1968503937007874" right="0.1968503937007874" top="1.6141732283464567" bottom="0.984251968503937" header="0.8661417322834646" footer="0.5118110236220472"/>
  <pageSetup horizontalDpi="300" verticalDpi="300" orientation="landscape" paperSize="9" scale="90" r:id="rId1"/>
  <headerFooter alignWithMargins="0">
    <oddHeader>&amp;C&amp;"MS Sans Serif,Félkövér dőlt"ZALAEGERSZEG MEGYEI JOGÚ VÁROS ÖNKORMÁNYZAT 2012. ÉVI BEVÉTELI ELŐIRÁNYZATAI CíMENKÉNTI BONTÁSBAN &amp;R&amp;"MS Sans Serif,Félkövér dőlt"4.sz. melléklet
Adatok: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pane ySplit="2" topLeftCell="BM3" activePane="bottomLeft" state="frozen"/>
      <selection pane="topLeft" activeCell="B1" sqref="B1"/>
      <selection pane="bottomLeft" activeCell="J14" sqref="J14:K14"/>
    </sheetView>
  </sheetViews>
  <sheetFormatPr defaultColWidth="9.00390625" defaultRowHeight="12.75"/>
  <cols>
    <col min="1" max="1" width="6.875" style="79" customWidth="1"/>
    <col min="2" max="2" width="7.00390625" style="79" customWidth="1"/>
    <col min="3" max="3" width="28.00390625" style="79" customWidth="1"/>
    <col min="4" max="4" width="10.00390625" style="79" customWidth="1"/>
    <col min="5" max="5" width="11.875" style="79" customWidth="1"/>
    <col min="6" max="6" width="9.875" style="79" customWidth="1"/>
    <col min="7" max="7" width="9.625" style="79" customWidth="1"/>
    <col min="8" max="8" width="11.875" style="79" customWidth="1"/>
    <col min="9" max="9" width="10.50390625" style="79" customWidth="1"/>
    <col min="10" max="10" width="9.375" style="79" customWidth="1"/>
    <col min="11" max="11" width="9.50390625" style="79" customWidth="1"/>
    <col min="12" max="12" width="11.00390625" style="79" customWidth="1"/>
    <col min="13" max="13" width="11.625" style="245" customWidth="1"/>
    <col min="14" max="14" width="10.875" style="245" customWidth="1"/>
    <col min="15" max="16384" width="9.375" style="79" customWidth="1"/>
  </cols>
  <sheetData>
    <row r="1" spans="1:14" s="240" customFormat="1" ht="33.75">
      <c r="A1" s="248"/>
      <c r="B1" s="249"/>
      <c r="C1" s="249"/>
      <c r="D1" s="249"/>
      <c r="E1" s="249"/>
      <c r="F1" s="249"/>
      <c r="G1" s="451" t="s">
        <v>932</v>
      </c>
      <c r="H1" s="296"/>
      <c r="I1" s="249"/>
      <c r="J1" s="837" t="s">
        <v>933</v>
      </c>
      <c r="K1" s="838"/>
      <c r="L1" s="249"/>
      <c r="M1" s="249"/>
      <c r="N1" s="250"/>
    </row>
    <row r="2" spans="1:14" s="241" customFormat="1" ht="53.25" customHeight="1" thickBot="1">
      <c r="A2" s="251" t="s">
        <v>203</v>
      </c>
      <c r="B2" s="252" t="s">
        <v>204</v>
      </c>
      <c r="C2" s="252" t="s">
        <v>181</v>
      </c>
      <c r="D2" s="252" t="s">
        <v>205</v>
      </c>
      <c r="E2" s="252" t="s">
        <v>206</v>
      </c>
      <c r="F2" s="252" t="s">
        <v>207</v>
      </c>
      <c r="G2" s="253" t="s">
        <v>208</v>
      </c>
      <c r="H2" s="253" t="s">
        <v>83</v>
      </c>
      <c r="I2" s="252" t="s">
        <v>212</v>
      </c>
      <c r="J2" s="252" t="s">
        <v>448</v>
      </c>
      <c r="K2" s="252" t="s">
        <v>934</v>
      </c>
      <c r="L2" s="252" t="s">
        <v>939</v>
      </c>
      <c r="M2" s="252" t="s">
        <v>215</v>
      </c>
      <c r="N2" s="254" t="s">
        <v>84</v>
      </c>
    </row>
    <row r="3" spans="1:14" s="241" customFormat="1" ht="17.25" customHeight="1">
      <c r="A3" s="29">
        <v>1</v>
      </c>
      <c r="B3" s="29"/>
      <c r="C3" s="255" t="s">
        <v>605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242" customFormat="1" ht="13.5" customHeight="1">
      <c r="A4" s="33"/>
      <c r="B4" s="33">
        <v>12</v>
      </c>
      <c r="C4" s="257" t="s">
        <v>492</v>
      </c>
      <c r="D4" s="34">
        <f>0+'12'!E35</f>
        <v>0</v>
      </c>
      <c r="E4" s="34">
        <f>2487+'12'!F35</f>
        <v>3384</v>
      </c>
      <c r="F4" s="34">
        <f>52939+'12'!G35</f>
        <v>60534</v>
      </c>
      <c r="G4" s="34">
        <f>308901+'12'!H35</f>
        <v>329981</v>
      </c>
      <c r="H4" s="34">
        <f>2000+'12'!I35</f>
        <v>4000</v>
      </c>
      <c r="I4" s="34"/>
      <c r="J4" s="34">
        <f>55115+'12'!K35</f>
        <v>56408</v>
      </c>
      <c r="K4" s="34">
        <f>227314+'12'!L35</f>
        <v>226344</v>
      </c>
      <c r="L4" s="34">
        <f>20000+'12'!M35</f>
        <v>69155</v>
      </c>
      <c r="M4" s="34"/>
      <c r="N4" s="34">
        <f aca="true" t="shared" si="0" ref="N4:N14">SUM(D4:M4)</f>
        <v>749806</v>
      </c>
    </row>
    <row r="5" spans="1:14" s="242" customFormat="1" ht="13.5" customHeight="1">
      <c r="A5" s="33"/>
      <c r="B5" s="33">
        <v>13</v>
      </c>
      <c r="C5" s="257" t="s">
        <v>497</v>
      </c>
      <c r="D5" s="34">
        <f>1182+'12'!E47</f>
        <v>1182</v>
      </c>
      <c r="E5" s="34">
        <f>318+'12'!F47</f>
        <v>318</v>
      </c>
      <c r="F5" s="34">
        <f>14139+'12'!G47</f>
        <v>14589</v>
      </c>
      <c r="G5" s="34">
        <f>190260+'12'!H47</f>
        <v>191765</v>
      </c>
      <c r="H5" s="34">
        <f>9150+'12'!I47</f>
        <v>10065</v>
      </c>
      <c r="I5" s="34"/>
      <c r="J5" s="34">
        <f>6799+'12'!K47</f>
        <v>8299</v>
      </c>
      <c r="K5" s="34">
        <f>271614+'12'!L47</f>
        <v>269424</v>
      </c>
      <c r="L5" s="34"/>
      <c r="M5" s="34"/>
      <c r="N5" s="34">
        <f t="shared" si="0"/>
        <v>495642</v>
      </c>
    </row>
    <row r="6" spans="1:14" s="242" customFormat="1" ht="13.5" customHeight="1">
      <c r="A6" s="33"/>
      <c r="B6" s="33">
        <v>14</v>
      </c>
      <c r="C6" s="257" t="s">
        <v>494</v>
      </c>
      <c r="D6" s="34">
        <f>400+'12'!E62</f>
        <v>400</v>
      </c>
      <c r="E6" s="34">
        <f>110+'12'!F62</f>
        <v>110</v>
      </c>
      <c r="F6" s="34">
        <f>28407+'12'!G62</f>
        <v>27939</v>
      </c>
      <c r="G6" s="34">
        <f>192371+'12'!H62</f>
        <v>223792</v>
      </c>
      <c r="H6" s="34">
        <f>3740+'12'!I62</f>
        <v>13724</v>
      </c>
      <c r="I6" s="34"/>
      <c r="J6" s="34">
        <f>9057+'12'!K62</f>
        <v>7864</v>
      </c>
      <c r="K6" s="34">
        <f>4250+'12'!L62</f>
        <v>4250</v>
      </c>
      <c r="L6" s="34">
        <f>11760+'12'!M62</f>
        <v>40760</v>
      </c>
      <c r="M6" s="34"/>
      <c r="N6" s="34">
        <f t="shared" si="0"/>
        <v>318839</v>
      </c>
    </row>
    <row r="7" spans="1:14" s="242" customFormat="1" ht="13.5" customHeight="1">
      <c r="A7" s="33"/>
      <c r="B7" s="33">
        <v>15</v>
      </c>
      <c r="C7" s="257" t="s">
        <v>195</v>
      </c>
      <c r="D7" s="34">
        <f>1500+'12'!E95</f>
        <v>2280</v>
      </c>
      <c r="E7" s="34">
        <f>400+'12'!F95</f>
        <v>505</v>
      </c>
      <c r="F7" s="34">
        <f>1079561+'12'!G95</f>
        <v>1118354</v>
      </c>
      <c r="G7" s="34">
        <f>21150+'12'!H95</f>
        <v>28884</v>
      </c>
      <c r="H7" s="34">
        <f>437+'12'!I95</f>
        <v>766</v>
      </c>
      <c r="I7" s="34"/>
      <c r="J7" s="34">
        <f>229785+'12'!K95</f>
        <v>249743</v>
      </c>
      <c r="K7" s="34">
        <f>205740+'12'!L95</f>
        <v>223557</v>
      </c>
      <c r="L7" s="34">
        <f>0+'12'!M95</f>
        <v>2031</v>
      </c>
      <c r="M7" s="34"/>
      <c r="N7" s="34">
        <f t="shared" si="0"/>
        <v>1626120</v>
      </c>
    </row>
    <row r="8" spans="1:15" s="242" customFormat="1" ht="13.5" customHeight="1">
      <c r="A8" s="33"/>
      <c r="B8" s="33">
        <v>16</v>
      </c>
      <c r="C8" s="257" t="s">
        <v>498</v>
      </c>
      <c r="D8" s="34">
        <f>0+'12'!E100</f>
        <v>0</v>
      </c>
      <c r="E8" s="34">
        <f>0+'12'!F100</f>
        <v>0</v>
      </c>
      <c r="F8" s="34">
        <f>0+'12'!G100</f>
        <v>0</v>
      </c>
      <c r="G8" s="34">
        <f>0+'12'!H100</f>
        <v>0</v>
      </c>
      <c r="H8" s="34">
        <f>54299+'12'!I100</f>
        <v>115167</v>
      </c>
      <c r="I8" s="34"/>
      <c r="J8" s="34">
        <f>10000+'12'!K100</f>
        <v>16000</v>
      </c>
      <c r="K8" s="34">
        <f>2100412+'12'!L100</f>
        <v>2344969</v>
      </c>
      <c r="L8" s="34"/>
      <c r="M8" s="34"/>
      <c r="N8" s="34">
        <f t="shared" si="0"/>
        <v>2476136</v>
      </c>
      <c r="O8" s="243"/>
    </row>
    <row r="9" spans="1:14" s="242" customFormat="1" ht="13.5" customHeight="1">
      <c r="A9" s="33"/>
      <c r="B9" s="33">
        <v>17</v>
      </c>
      <c r="C9" s="257" t="s">
        <v>197</v>
      </c>
      <c r="D9" s="34">
        <f>0+'12'!E110</f>
        <v>0</v>
      </c>
      <c r="E9" s="34">
        <f>0+'12'!F110</f>
        <v>0</v>
      </c>
      <c r="F9" s="34">
        <f>167963+'12'!G110</f>
        <v>168063</v>
      </c>
      <c r="G9" s="34">
        <f>21050+'12'!H110</f>
        <v>21050</v>
      </c>
      <c r="H9" s="34">
        <f>22340+'12'!I110</f>
        <v>22340</v>
      </c>
      <c r="I9" s="34"/>
      <c r="J9" s="34">
        <f>20000+'12'!K110</f>
        <v>20000</v>
      </c>
      <c r="K9" s="34">
        <f>249970+'12'!L110</f>
        <v>262470</v>
      </c>
      <c r="L9" s="34"/>
      <c r="M9" s="34"/>
      <c r="N9" s="34">
        <f t="shared" si="0"/>
        <v>493923</v>
      </c>
    </row>
    <row r="10" spans="1:14" s="242" customFormat="1" ht="13.5" customHeight="1">
      <c r="A10" s="33"/>
      <c r="B10" s="33">
        <v>18</v>
      </c>
      <c r="C10" s="257" t="s">
        <v>1000</v>
      </c>
      <c r="D10" s="34"/>
      <c r="E10" s="34"/>
      <c r="F10" s="34">
        <f>114152+'12'!G114</f>
        <v>114152</v>
      </c>
      <c r="G10" s="34">
        <f>1700+'12'!H114</f>
        <v>1445</v>
      </c>
      <c r="H10" s="34"/>
      <c r="I10" s="34"/>
      <c r="J10" s="34"/>
      <c r="K10" s="34">
        <f>1220+'12'!L116</f>
        <v>255</v>
      </c>
      <c r="L10" s="34"/>
      <c r="M10" s="34"/>
      <c r="N10" s="34">
        <f t="shared" si="0"/>
        <v>115852</v>
      </c>
    </row>
    <row r="11" spans="1:14" s="242" customFormat="1" ht="13.5" customHeight="1">
      <c r="A11" s="33"/>
      <c r="B11" s="33">
        <v>19</v>
      </c>
      <c r="C11" s="256" t="s">
        <v>198</v>
      </c>
      <c r="D11" s="34">
        <f>1700+'12'!E137</f>
        <v>1700</v>
      </c>
      <c r="E11" s="34">
        <f>250+'12'!F137</f>
        <v>250</v>
      </c>
      <c r="F11" s="34">
        <f>361596+'12'!G137</f>
        <v>475783</v>
      </c>
      <c r="G11" s="34">
        <f>207376+'12'!H137</f>
        <v>234477</v>
      </c>
      <c r="H11" s="34">
        <f>19200+'12'!I137</f>
        <v>19700</v>
      </c>
      <c r="I11" s="34"/>
      <c r="J11" s="34">
        <f>0+'12'!K137</f>
        <v>0</v>
      </c>
      <c r="K11" s="34">
        <f>0+'12'!L137</f>
        <v>0</v>
      </c>
      <c r="L11" s="34">
        <f>250509+'12'!M137</f>
        <v>250509</v>
      </c>
      <c r="M11" s="34"/>
      <c r="N11" s="34">
        <f t="shared" si="0"/>
        <v>982419</v>
      </c>
    </row>
    <row r="12" spans="1:14" s="242" customFormat="1" ht="12.75" customHeight="1">
      <c r="A12" s="33"/>
      <c r="B12" s="33">
        <v>20</v>
      </c>
      <c r="C12" s="256" t="s">
        <v>85</v>
      </c>
      <c r="D12" s="34"/>
      <c r="E12" s="34"/>
      <c r="F12" s="34">
        <f>2520+'12'!G138</f>
        <v>2520</v>
      </c>
      <c r="G12" s="34"/>
      <c r="H12" s="34"/>
      <c r="I12" s="34"/>
      <c r="J12" s="34"/>
      <c r="K12" s="34"/>
      <c r="L12" s="34"/>
      <c r="M12" s="34"/>
      <c r="N12" s="34">
        <f t="shared" si="0"/>
        <v>2520</v>
      </c>
    </row>
    <row r="13" spans="1:14" s="242" customFormat="1" ht="12.75" customHeight="1">
      <c r="A13" s="33"/>
      <c r="B13" s="33">
        <v>21</v>
      </c>
      <c r="C13" s="256" t="s">
        <v>86</v>
      </c>
      <c r="D13" s="34">
        <f>2088+'12'!E156</f>
        <v>56111</v>
      </c>
      <c r="E13" s="34">
        <f>975+'12'!F156</f>
        <v>15561</v>
      </c>
      <c r="F13" s="34">
        <f>89065+'12'!G156</f>
        <v>101308</v>
      </c>
      <c r="G13" s="34">
        <f>37550+'12'!H156</f>
        <v>38355</v>
      </c>
      <c r="H13" s="34">
        <f>0+'12'!I156</f>
        <v>150</v>
      </c>
      <c r="I13" s="34">
        <f>0+'12'!J156</f>
        <v>0</v>
      </c>
      <c r="J13" s="34">
        <f>0+'12'!K156</f>
        <v>0</v>
      </c>
      <c r="K13" s="34">
        <f>300000+'12'!L156</f>
        <v>300000</v>
      </c>
      <c r="L13" s="34">
        <f>0+'12'!M156</f>
        <v>0</v>
      </c>
      <c r="M13" s="34">
        <f>0+'12'!N156</f>
        <v>0</v>
      </c>
      <c r="N13" s="34">
        <f t="shared" si="0"/>
        <v>511485</v>
      </c>
    </row>
    <row r="14" spans="1:14" s="242" customFormat="1" ht="12.75" customHeight="1">
      <c r="A14" s="33"/>
      <c r="B14" s="33">
        <v>30</v>
      </c>
      <c r="C14" s="35" t="s">
        <v>940</v>
      </c>
      <c r="D14" s="34">
        <f>0+'12'!E176</f>
        <v>0</v>
      </c>
      <c r="E14" s="34">
        <f>0+'12'!F176</f>
        <v>0</v>
      </c>
      <c r="F14" s="34">
        <f>0+'12'!G176</f>
        <v>0</v>
      </c>
      <c r="G14" s="34">
        <f>0+'12'!H176</f>
        <v>0</v>
      </c>
      <c r="H14" s="34">
        <f>0+'12'!I176</f>
        <v>0</v>
      </c>
      <c r="I14" s="34"/>
      <c r="J14" s="34">
        <f>15000+'12'!K176</f>
        <v>9535</v>
      </c>
      <c r="K14" s="34">
        <f>18163+'12'!L176</f>
        <v>18163</v>
      </c>
      <c r="L14" s="34"/>
      <c r="M14" s="34">
        <f>571627+'12'!N176</f>
        <v>476589</v>
      </c>
      <c r="N14" s="34">
        <f t="shared" si="0"/>
        <v>504287</v>
      </c>
    </row>
    <row r="15" spans="1:14" s="244" customFormat="1" ht="25.5" customHeight="1">
      <c r="A15" s="258"/>
      <c r="B15" s="258"/>
      <c r="C15" s="542" t="s">
        <v>611</v>
      </c>
      <c r="D15" s="39">
        <f>SUM(D3:D14)</f>
        <v>61673</v>
      </c>
      <c r="E15" s="39">
        <f>SUM(E3:E14)</f>
        <v>20128</v>
      </c>
      <c r="F15" s="39">
        <f>SUM(F4:F14)</f>
        <v>2083242</v>
      </c>
      <c r="G15" s="39">
        <f>SUM(G4:G14)</f>
        <v>1069749</v>
      </c>
      <c r="H15" s="39">
        <f>SUM(H4:H14)</f>
        <v>185912</v>
      </c>
      <c r="I15" s="39"/>
      <c r="J15" s="39">
        <f>SUM(J4:J14)</f>
        <v>367849</v>
      </c>
      <c r="K15" s="39">
        <f>SUM(K4:K14)</f>
        <v>3649432</v>
      </c>
      <c r="L15" s="39">
        <f>SUM(L4:L14)</f>
        <v>362455</v>
      </c>
      <c r="M15" s="39">
        <f>SUM(M4:M14)</f>
        <v>476589</v>
      </c>
      <c r="N15" s="39">
        <f>SUM(N4:N14)</f>
        <v>8277029</v>
      </c>
    </row>
    <row r="16" spans="1:14" s="244" customFormat="1" ht="12.75" customHeight="1">
      <c r="A16" s="40">
        <v>2</v>
      </c>
      <c r="B16" s="40"/>
      <c r="C16" s="264" t="s">
        <v>606</v>
      </c>
      <c r="D16" s="544">
        <f>5427715+'12'!E178</f>
        <v>5613993</v>
      </c>
      <c r="E16" s="544">
        <f>1429664+'12'!F178</f>
        <v>1473017</v>
      </c>
      <c r="F16" s="544">
        <f>2730499+'12'!G178</f>
        <v>2977623</v>
      </c>
      <c r="G16" s="544">
        <f>10118+'12'!H178</f>
        <v>108964</v>
      </c>
      <c r="H16" s="544">
        <f>4031+'12'!I178</f>
        <v>4031</v>
      </c>
      <c r="I16" s="544">
        <f>25595+'12'!J178</f>
        <v>44748</v>
      </c>
      <c r="J16" s="544">
        <f>24099+'12'!K178</f>
        <v>48723</v>
      </c>
      <c r="K16" s="544">
        <f>157021+'12'!L178</f>
        <v>153370</v>
      </c>
      <c r="L16" s="40"/>
      <c r="M16" s="42"/>
      <c r="N16" s="544">
        <f>SUM(D16:M16)</f>
        <v>10424469</v>
      </c>
    </row>
    <row r="17" spans="1:14" s="244" customFormat="1" ht="12.75" customHeight="1">
      <c r="A17" s="258"/>
      <c r="B17" s="258"/>
      <c r="C17" s="452" t="s">
        <v>476</v>
      </c>
      <c r="D17" s="39">
        <f aca="true" t="shared" si="1" ref="D17:N17">SUM(D15:D16)</f>
        <v>5675666</v>
      </c>
      <c r="E17" s="39">
        <f t="shared" si="1"/>
        <v>1493145</v>
      </c>
      <c r="F17" s="39">
        <f t="shared" si="1"/>
        <v>5060865</v>
      </c>
      <c r="G17" s="39">
        <f t="shared" si="1"/>
        <v>1178713</v>
      </c>
      <c r="H17" s="39">
        <f t="shared" si="1"/>
        <v>189943</v>
      </c>
      <c r="I17" s="39">
        <f t="shared" si="1"/>
        <v>44748</v>
      </c>
      <c r="J17" s="39">
        <f t="shared" si="1"/>
        <v>416572</v>
      </c>
      <c r="K17" s="39">
        <f t="shared" si="1"/>
        <v>3802802</v>
      </c>
      <c r="L17" s="39">
        <f t="shared" si="1"/>
        <v>362455</v>
      </c>
      <c r="M17" s="39">
        <f t="shared" si="1"/>
        <v>476589</v>
      </c>
      <c r="N17" s="39">
        <f t="shared" si="1"/>
        <v>18701498</v>
      </c>
    </row>
    <row r="18" spans="13:14" s="28" customFormat="1" ht="12">
      <c r="M18" s="80"/>
      <c r="N18" s="80"/>
    </row>
    <row r="19" spans="13:14" s="28" customFormat="1" ht="12">
      <c r="M19" s="80"/>
      <c r="N19" s="80"/>
    </row>
    <row r="20" spans="13:14" s="28" customFormat="1" ht="12">
      <c r="M20" s="80"/>
      <c r="N20" s="80"/>
    </row>
    <row r="21" spans="13:14" s="28" customFormat="1" ht="12">
      <c r="M21" s="80"/>
      <c r="N21" s="80"/>
    </row>
    <row r="22" spans="13:14" s="28" customFormat="1" ht="12">
      <c r="M22" s="80"/>
      <c r="N22" s="80"/>
    </row>
    <row r="23" spans="13:14" s="28" customFormat="1" ht="12">
      <c r="M23" s="80"/>
      <c r="N23" s="80"/>
    </row>
    <row r="24" spans="13:14" s="28" customFormat="1" ht="12">
      <c r="M24" s="80"/>
      <c r="N24" s="80"/>
    </row>
    <row r="25" spans="13:14" s="28" customFormat="1" ht="12">
      <c r="M25" s="80"/>
      <c r="N25" s="80"/>
    </row>
    <row r="26" spans="13:14" s="28" customFormat="1" ht="12">
      <c r="M26" s="80"/>
      <c r="N26" s="80"/>
    </row>
    <row r="27" spans="13:14" s="28" customFormat="1" ht="12">
      <c r="M27" s="80"/>
      <c r="N27" s="80"/>
    </row>
    <row r="28" spans="13:14" s="28" customFormat="1" ht="12">
      <c r="M28" s="80"/>
      <c r="N28" s="80"/>
    </row>
  </sheetData>
  <mergeCells count="1">
    <mergeCell ref="J1:K1"/>
  </mergeCells>
  <printOptions horizontalCentered="1" verticalCentered="1"/>
  <pageMargins left="0.2362204724409449" right="0.35433070866141736" top="1.6929133858267718" bottom="0.7874015748031497" header="0.6299212598425197" footer="0.5118110236220472"/>
  <pageSetup horizontalDpi="300" verticalDpi="300" orientation="landscape" paperSize="9" r:id="rId1"/>
  <headerFooter alignWithMargins="0">
    <oddHeader>&amp;C&amp;"Times New Roman CE,Félkövér dőlt"ZALAEGERSZEG MEGYEI JOGÚ VÁROS ÖNKORMÁNYZATÁNAK
2012.  ÉVI KIADÁSI ELŐIRÁNYZATAI
CÍMENKÉNTI BONTÁSBAN&amp;R&amp;"Times New Roman CE,Félkövér dőlt"5. sz. melléklet
Adatok: ezer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284"/>
  <sheetViews>
    <sheetView tabSelected="1" workbookViewId="0" topLeftCell="B1">
      <pane ySplit="2" topLeftCell="BM171" activePane="bottomLeft" state="frozen"/>
      <selection pane="topLeft" activeCell="A1" sqref="A1"/>
      <selection pane="bottomLeft" activeCell="G173" sqref="G173:I173"/>
    </sheetView>
  </sheetViews>
  <sheetFormatPr defaultColWidth="9.00390625" defaultRowHeight="12.75"/>
  <cols>
    <col min="1" max="2" width="4.375" style="85" customWidth="1"/>
    <col min="3" max="3" width="7.125" style="85" customWidth="1"/>
    <col min="4" max="4" width="51.875" style="85" customWidth="1"/>
    <col min="5" max="5" width="4.875" style="85" customWidth="1"/>
    <col min="6" max="6" width="9.50390625" style="85" customWidth="1"/>
    <col min="7" max="7" width="11.50390625" style="85" customWidth="1"/>
    <col min="8" max="8" width="11.125" style="85" customWidth="1"/>
    <col min="9" max="9" width="10.625" style="85" customWidth="1"/>
    <col min="10" max="10" width="11.00390625" style="85" customWidth="1"/>
    <col min="11" max="11" width="10.50390625" style="85" customWidth="1"/>
    <col min="12" max="12" width="10.375" style="85" customWidth="1"/>
    <col min="13" max="14" width="10.50390625" style="85" customWidth="1"/>
    <col min="15" max="15" width="10.375" style="85" customWidth="1"/>
    <col min="16" max="16384" width="9.375" style="85" customWidth="1"/>
  </cols>
  <sheetData>
    <row r="1" spans="1:15" ht="24" customHeight="1">
      <c r="A1" s="181"/>
      <c r="B1" s="182"/>
      <c r="C1" s="183"/>
      <c r="D1" s="347"/>
      <c r="E1" s="804"/>
      <c r="F1" s="806" t="s">
        <v>483</v>
      </c>
      <c r="G1" s="801" t="s">
        <v>257</v>
      </c>
      <c r="H1" s="802"/>
      <c r="I1" s="803"/>
      <c r="J1" s="842" t="s">
        <v>1219</v>
      </c>
      <c r="K1" s="799"/>
      <c r="L1" s="800"/>
      <c r="M1" s="842" t="s">
        <v>602</v>
      </c>
      <c r="N1" s="799"/>
      <c r="O1" s="800"/>
    </row>
    <row r="2" spans="1:15" ht="48.75" thickBot="1">
      <c r="A2" s="184" t="s">
        <v>499</v>
      </c>
      <c r="B2" s="185" t="s">
        <v>500</v>
      </c>
      <c r="C2" s="186" t="s">
        <v>501</v>
      </c>
      <c r="D2" s="348" t="s">
        <v>502</v>
      </c>
      <c r="E2" s="805"/>
      <c r="F2" s="807"/>
      <c r="G2" s="187" t="s">
        <v>503</v>
      </c>
      <c r="H2" s="187" t="s">
        <v>504</v>
      </c>
      <c r="I2" s="187" t="s">
        <v>505</v>
      </c>
      <c r="J2" s="187" t="s">
        <v>503</v>
      </c>
      <c r="K2" s="187" t="s">
        <v>504</v>
      </c>
      <c r="L2" s="187" t="s">
        <v>505</v>
      </c>
      <c r="M2" s="187" t="s">
        <v>503</v>
      </c>
      <c r="N2" s="187" t="s">
        <v>504</v>
      </c>
      <c r="O2" s="187" t="s">
        <v>505</v>
      </c>
    </row>
    <row r="3" spans="1:15" ht="12.75" customHeight="1">
      <c r="A3" s="188">
        <v>1</v>
      </c>
      <c r="B3" s="189"/>
      <c r="C3" s="189"/>
      <c r="D3" s="349" t="s">
        <v>605</v>
      </c>
      <c r="E3" s="359"/>
      <c r="F3" s="359"/>
      <c r="G3" s="190"/>
      <c r="H3" s="190"/>
      <c r="I3" s="190"/>
      <c r="J3" s="190"/>
      <c r="K3" s="190"/>
      <c r="L3" s="190"/>
      <c r="M3" s="190"/>
      <c r="N3" s="191"/>
      <c r="O3" s="191"/>
    </row>
    <row r="4" spans="1:15" ht="12.75" customHeight="1">
      <c r="A4" s="192">
        <v>1</v>
      </c>
      <c r="B4" s="192">
        <v>12</v>
      </c>
      <c r="C4" s="195"/>
      <c r="D4" s="350" t="s">
        <v>492</v>
      </c>
      <c r="E4" s="360"/>
      <c r="F4" s="360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5" customHeight="1">
      <c r="A5" s="194"/>
      <c r="B5" s="194"/>
      <c r="C5" s="286" t="s">
        <v>1008</v>
      </c>
      <c r="D5" s="330" t="s">
        <v>568</v>
      </c>
      <c r="E5" s="331"/>
      <c r="F5" s="398"/>
      <c r="G5" s="761">
        <v>77500</v>
      </c>
      <c r="H5" s="761"/>
      <c r="I5" s="761">
        <v>77500</v>
      </c>
      <c r="J5" s="398"/>
      <c r="K5" s="398"/>
      <c r="L5" s="398"/>
      <c r="M5" s="398">
        <f aca="true" t="shared" si="0" ref="M5:M15">SUM(G5+J5)</f>
        <v>77500</v>
      </c>
      <c r="N5" s="398"/>
      <c r="O5" s="398">
        <f aca="true" t="shared" si="1" ref="O5:O15">SUM(I5+L5)</f>
        <v>77500</v>
      </c>
    </row>
    <row r="6" spans="1:15" ht="15" customHeight="1">
      <c r="A6" s="194"/>
      <c r="B6" s="194"/>
      <c r="C6" s="495" t="s">
        <v>120</v>
      </c>
      <c r="D6" s="526" t="s">
        <v>258</v>
      </c>
      <c r="E6" s="573"/>
      <c r="F6" s="398"/>
      <c r="G6" s="761">
        <v>0</v>
      </c>
      <c r="H6" s="761">
        <v>1500</v>
      </c>
      <c r="I6" s="761">
        <v>1500</v>
      </c>
      <c r="J6" s="398"/>
      <c r="K6" s="398"/>
      <c r="L6" s="398"/>
      <c r="M6" s="398">
        <f t="shared" si="0"/>
        <v>0</v>
      </c>
      <c r="N6" s="398">
        <v>1500</v>
      </c>
      <c r="O6" s="398">
        <f t="shared" si="1"/>
        <v>1500</v>
      </c>
    </row>
    <row r="7" spans="1:15" ht="24.75" customHeight="1">
      <c r="A7" s="194"/>
      <c r="B7" s="194"/>
      <c r="C7" s="495" t="s">
        <v>122</v>
      </c>
      <c r="D7" s="574" t="s">
        <v>259</v>
      </c>
      <c r="E7" s="575"/>
      <c r="F7" s="466"/>
      <c r="G7" s="761">
        <v>2000</v>
      </c>
      <c r="H7" s="761"/>
      <c r="I7" s="761">
        <v>2000</v>
      </c>
      <c r="J7" s="398"/>
      <c r="K7" s="398"/>
      <c r="L7" s="398"/>
      <c r="M7" s="398">
        <f t="shared" si="0"/>
        <v>2000</v>
      </c>
      <c r="N7" s="398"/>
      <c r="O7" s="398">
        <f t="shared" si="1"/>
        <v>2000</v>
      </c>
    </row>
    <row r="8" spans="1:15" ht="15" customHeight="1">
      <c r="A8" s="194"/>
      <c r="B8" s="194"/>
      <c r="C8" s="495" t="s">
        <v>124</v>
      </c>
      <c r="D8" s="576" t="s">
        <v>260</v>
      </c>
      <c r="E8" s="575"/>
      <c r="F8" s="466" t="s">
        <v>1176</v>
      </c>
      <c r="G8" s="761">
        <v>4000</v>
      </c>
      <c r="H8" s="761"/>
      <c r="I8" s="761">
        <v>4000</v>
      </c>
      <c r="J8" s="398">
        <v>-2000</v>
      </c>
      <c r="K8" s="398"/>
      <c r="L8" s="398">
        <v>-2000</v>
      </c>
      <c r="M8" s="398">
        <f t="shared" si="0"/>
        <v>2000</v>
      </c>
      <c r="N8" s="398"/>
      <c r="O8" s="398">
        <f t="shared" si="1"/>
        <v>2000</v>
      </c>
    </row>
    <row r="9" spans="1:15" ht="15" customHeight="1">
      <c r="A9" s="194"/>
      <c r="B9" s="194"/>
      <c r="C9" s="495" t="s">
        <v>125</v>
      </c>
      <c r="D9" s="526" t="s">
        <v>261</v>
      </c>
      <c r="E9" s="575"/>
      <c r="F9" s="466"/>
      <c r="G9" s="761">
        <v>12000</v>
      </c>
      <c r="H9" s="761"/>
      <c r="I9" s="761">
        <v>12000</v>
      </c>
      <c r="J9" s="398"/>
      <c r="K9" s="398"/>
      <c r="L9" s="398"/>
      <c r="M9" s="398">
        <f t="shared" si="0"/>
        <v>12000</v>
      </c>
      <c r="N9" s="398"/>
      <c r="O9" s="398">
        <f t="shared" si="1"/>
        <v>12000</v>
      </c>
    </row>
    <row r="10" spans="1:15" ht="24.75" customHeight="1">
      <c r="A10" s="194"/>
      <c r="B10" s="194"/>
      <c r="C10" s="495" t="s">
        <v>126</v>
      </c>
      <c r="D10" s="576" t="s">
        <v>262</v>
      </c>
      <c r="E10" s="575" t="s">
        <v>477</v>
      </c>
      <c r="F10" s="466"/>
      <c r="G10" s="761">
        <v>7000</v>
      </c>
      <c r="H10" s="761"/>
      <c r="I10" s="761">
        <v>7000</v>
      </c>
      <c r="J10" s="398"/>
      <c r="K10" s="398"/>
      <c r="L10" s="398"/>
      <c r="M10" s="398">
        <f t="shared" si="0"/>
        <v>7000</v>
      </c>
      <c r="N10" s="398"/>
      <c r="O10" s="398">
        <f t="shared" si="1"/>
        <v>7000</v>
      </c>
    </row>
    <row r="11" spans="1:15" ht="24.75" customHeight="1">
      <c r="A11" s="194"/>
      <c r="B11" s="194"/>
      <c r="C11" s="286" t="s">
        <v>170</v>
      </c>
      <c r="D11" s="577" t="s">
        <v>263</v>
      </c>
      <c r="E11" s="331"/>
      <c r="F11" s="466"/>
      <c r="G11" s="761">
        <v>2000</v>
      </c>
      <c r="H11" s="761"/>
      <c r="I11" s="761">
        <v>2000</v>
      </c>
      <c r="J11" s="398"/>
      <c r="K11" s="398"/>
      <c r="L11" s="398"/>
      <c r="M11" s="398">
        <f t="shared" si="0"/>
        <v>2000</v>
      </c>
      <c r="N11" s="398"/>
      <c r="O11" s="398">
        <f t="shared" si="1"/>
        <v>2000</v>
      </c>
    </row>
    <row r="12" spans="1:15" ht="15" customHeight="1">
      <c r="A12" s="194"/>
      <c r="B12" s="194"/>
      <c r="C12" s="286" t="s">
        <v>171</v>
      </c>
      <c r="D12" s="577" t="s">
        <v>264</v>
      </c>
      <c r="E12" s="331"/>
      <c r="F12" s="466"/>
      <c r="G12" s="761">
        <v>0</v>
      </c>
      <c r="H12" s="761">
        <v>500</v>
      </c>
      <c r="I12" s="761">
        <v>500</v>
      </c>
      <c r="J12" s="398"/>
      <c r="K12" s="398"/>
      <c r="L12" s="398"/>
      <c r="M12" s="398">
        <f t="shared" si="0"/>
        <v>0</v>
      </c>
      <c r="N12" s="398">
        <v>500</v>
      </c>
      <c r="O12" s="398">
        <f t="shared" si="1"/>
        <v>500</v>
      </c>
    </row>
    <row r="13" spans="1:15" ht="15" customHeight="1">
      <c r="A13" s="194"/>
      <c r="B13" s="194"/>
      <c r="C13" s="286"/>
      <c r="D13" s="499" t="s">
        <v>265</v>
      </c>
      <c r="E13" s="331"/>
      <c r="F13" s="466"/>
      <c r="G13" s="761">
        <v>0</v>
      </c>
      <c r="H13" s="761"/>
      <c r="I13" s="761">
        <v>0</v>
      </c>
      <c r="J13" s="398"/>
      <c r="K13" s="398"/>
      <c r="L13" s="398"/>
      <c r="M13" s="398">
        <f t="shared" si="0"/>
        <v>0</v>
      </c>
      <c r="N13" s="398"/>
      <c r="O13" s="398">
        <f t="shared" si="1"/>
        <v>0</v>
      </c>
    </row>
    <row r="14" spans="1:15" ht="25.5" customHeight="1">
      <c r="A14" s="194"/>
      <c r="B14" s="194"/>
      <c r="C14" s="286" t="s">
        <v>666</v>
      </c>
      <c r="D14" s="342" t="s">
        <v>272</v>
      </c>
      <c r="E14" s="331" t="s">
        <v>477</v>
      </c>
      <c r="F14" s="466"/>
      <c r="G14" s="761">
        <v>122814</v>
      </c>
      <c r="H14" s="761"/>
      <c r="I14" s="761">
        <v>122814</v>
      </c>
      <c r="J14" s="398"/>
      <c r="K14" s="398"/>
      <c r="L14" s="398"/>
      <c r="M14" s="398">
        <f t="shared" si="0"/>
        <v>122814</v>
      </c>
      <c r="N14" s="398"/>
      <c r="O14" s="398">
        <f t="shared" si="1"/>
        <v>122814</v>
      </c>
    </row>
    <row r="15" spans="1:15" ht="25.5" customHeight="1">
      <c r="A15" s="194"/>
      <c r="B15" s="194"/>
      <c r="C15" s="286" t="s">
        <v>1017</v>
      </c>
      <c r="D15" s="342" t="s">
        <v>480</v>
      </c>
      <c r="E15" s="788" t="s">
        <v>477</v>
      </c>
      <c r="F15" s="466" t="s">
        <v>656</v>
      </c>
      <c r="G15" s="761"/>
      <c r="H15" s="761"/>
      <c r="I15" s="761"/>
      <c r="J15" s="398">
        <v>1030</v>
      </c>
      <c r="K15" s="398"/>
      <c r="L15" s="398">
        <v>1030</v>
      </c>
      <c r="M15" s="398">
        <f t="shared" si="0"/>
        <v>1030</v>
      </c>
      <c r="N15" s="398"/>
      <c r="O15" s="398">
        <f t="shared" si="1"/>
        <v>1030</v>
      </c>
    </row>
    <row r="16" spans="1:15" ht="12.75" customHeight="1">
      <c r="A16" s="196"/>
      <c r="B16" s="196"/>
      <c r="C16" s="197"/>
      <c r="D16" s="351" t="s">
        <v>705</v>
      </c>
      <c r="E16" s="361"/>
      <c r="F16" s="361"/>
      <c r="G16" s="199">
        <f>SUM(G5:G14)</f>
        <v>227314</v>
      </c>
      <c r="H16" s="199">
        <f>SUM(H5:H14)</f>
        <v>2000</v>
      </c>
      <c r="I16" s="199">
        <f>SUM(I5:I14)</f>
        <v>229314</v>
      </c>
      <c r="J16" s="619">
        <f aca="true" t="shared" si="2" ref="J16:O16">SUM(J5:J15)</f>
        <v>-970</v>
      </c>
      <c r="K16" s="619">
        <f t="shared" si="2"/>
        <v>0</v>
      </c>
      <c r="L16" s="619">
        <f t="shared" si="2"/>
        <v>-970</v>
      </c>
      <c r="M16" s="619">
        <f t="shared" si="2"/>
        <v>226344</v>
      </c>
      <c r="N16" s="619">
        <f t="shared" si="2"/>
        <v>2000</v>
      </c>
      <c r="O16" s="619">
        <f t="shared" si="2"/>
        <v>228344</v>
      </c>
    </row>
    <row r="17" spans="1:15" ht="12.75" customHeight="1">
      <c r="A17" s="200">
        <v>1</v>
      </c>
      <c r="B17" s="200">
        <v>13</v>
      </c>
      <c r="C17" s="201"/>
      <c r="D17" s="352" t="s">
        <v>497</v>
      </c>
      <c r="E17" s="362"/>
      <c r="F17" s="362"/>
      <c r="G17" s="761"/>
      <c r="H17" s="761"/>
      <c r="I17" s="761"/>
      <c r="J17" s="401"/>
      <c r="K17" s="401"/>
      <c r="L17" s="401"/>
      <c r="M17" s="398"/>
      <c r="N17" s="398"/>
      <c r="O17" s="398"/>
    </row>
    <row r="18" spans="1:15" ht="15" customHeight="1">
      <c r="A18" s="496"/>
      <c r="B18" s="497"/>
      <c r="C18" s="285" t="s">
        <v>1008</v>
      </c>
      <c r="D18" s="578" t="s">
        <v>273</v>
      </c>
      <c r="E18" s="494"/>
      <c r="F18" s="530" t="s">
        <v>1171</v>
      </c>
      <c r="G18" s="761">
        <v>1200</v>
      </c>
      <c r="H18" s="761"/>
      <c r="I18" s="761">
        <v>1200</v>
      </c>
      <c r="J18" s="401">
        <v>-110</v>
      </c>
      <c r="K18" s="401"/>
      <c r="L18" s="401">
        <v>-110</v>
      </c>
      <c r="M18" s="398">
        <f aca="true" t="shared" si="3" ref="M18:M35">SUM(G18+J18)</f>
        <v>1090</v>
      </c>
      <c r="N18" s="398"/>
      <c r="O18" s="398">
        <f aca="true" t="shared" si="4" ref="O18:O35">SUM(I18+L18)</f>
        <v>1090</v>
      </c>
    </row>
    <row r="19" spans="1:15" ht="24.75" customHeight="1">
      <c r="A19" s="496"/>
      <c r="B19" s="497"/>
      <c r="C19" s="285" t="s">
        <v>120</v>
      </c>
      <c r="D19" s="579" t="s">
        <v>274</v>
      </c>
      <c r="E19" s="573"/>
      <c r="F19" s="529"/>
      <c r="G19" s="761">
        <v>1500</v>
      </c>
      <c r="H19" s="761"/>
      <c r="I19" s="761">
        <v>1500</v>
      </c>
      <c r="J19" s="401"/>
      <c r="K19" s="401"/>
      <c r="L19" s="401"/>
      <c r="M19" s="398">
        <f t="shared" si="3"/>
        <v>1500</v>
      </c>
      <c r="N19" s="398"/>
      <c r="O19" s="398">
        <f t="shared" si="4"/>
        <v>1500</v>
      </c>
    </row>
    <row r="20" spans="1:15" ht="24.75" customHeight="1">
      <c r="A20" s="496"/>
      <c r="B20" s="497"/>
      <c r="C20" s="285" t="s">
        <v>122</v>
      </c>
      <c r="D20" s="580" t="s">
        <v>275</v>
      </c>
      <c r="E20" s="573"/>
      <c r="F20" s="529"/>
      <c r="G20" s="761">
        <v>0</v>
      </c>
      <c r="H20" s="761">
        <v>1620</v>
      </c>
      <c r="I20" s="761">
        <v>1620</v>
      </c>
      <c r="J20" s="401"/>
      <c r="K20" s="401">
        <v>165</v>
      </c>
      <c r="L20" s="401">
        <v>165</v>
      </c>
      <c r="M20" s="398">
        <f t="shared" si="3"/>
        <v>0</v>
      </c>
      <c r="N20" s="398">
        <v>1785</v>
      </c>
      <c r="O20" s="398">
        <f t="shared" si="4"/>
        <v>1785</v>
      </c>
    </row>
    <row r="21" spans="1:15" ht="24.75" customHeight="1">
      <c r="A21" s="496"/>
      <c r="B21" s="497"/>
      <c r="C21" s="285" t="s">
        <v>124</v>
      </c>
      <c r="D21" s="581" t="s">
        <v>276</v>
      </c>
      <c r="E21" s="498"/>
      <c r="F21" s="362"/>
      <c r="G21" s="761">
        <v>500</v>
      </c>
      <c r="H21" s="761"/>
      <c r="I21" s="761">
        <v>500</v>
      </c>
      <c r="J21" s="401"/>
      <c r="K21" s="401"/>
      <c r="L21" s="401"/>
      <c r="M21" s="398">
        <f t="shared" si="3"/>
        <v>500</v>
      </c>
      <c r="N21" s="398"/>
      <c r="O21" s="398">
        <f t="shared" si="4"/>
        <v>500</v>
      </c>
    </row>
    <row r="22" spans="1:15" ht="24.75" customHeight="1">
      <c r="A22" s="496"/>
      <c r="B22" s="497"/>
      <c r="C22" s="285" t="s">
        <v>125</v>
      </c>
      <c r="D22" s="581" t="s">
        <v>277</v>
      </c>
      <c r="E22" s="498"/>
      <c r="F22" s="529"/>
      <c r="G22" s="761">
        <v>180</v>
      </c>
      <c r="H22" s="761"/>
      <c r="I22" s="761">
        <v>180</v>
      </c>
      <c r="J22" s="401"/>
      <c r="K22" s="401"/>
      <c r="L22" s="401"/>
      <c r="M22" s="398">
        <f t="shared" si="3"/>
        <v>180</v>
      </c>
      <c r="N22" s="398"/>
      <c r="O22" s="398">
        <f t="shared" si="4"/>
        <v>180</v>
      </c>
    </row>
    <row r="23" spans="1:15" ht="24.75" customHeight="1">
      <c r="A23" s="496"/>
      <c r="B23" s="497"/>
      <c r="C23" s="285" t="s">
        <v>126</v>
      </c>
      <c r="D23" s="582" t="s">
        <v>278</v>
      </c>
      <c r="E23" s="498"/>
      <c r="F23" s="529"/>
      <c r="G23" s="761">
        <v>350</v>
      </c>
      <c r="H23" s="761"/>
      <c r="I23" s="761">
        <v>350</v>
      </c>
      <c r="J23" s="401"/>
      <c r="K23" s="401"/>
      <c r="L23" s="401"/>
      <c r="M23" s="398">
        <f t="shared" si="3"/>
        <v>350</v>
      </c>
      <c r="N23" s="398"/>
      <c r="O23" s="398">
        <f t="shared" si="4"/>
        <v>350</v>
      </c>
    </row>
    <row r="24" spans="1:15" ht="24.75" customHeight="1">
      <c r="A24" s="496"/>
      <c r="B24" s="497"/>
      <c r="C24" s="285" t="s">
        <v>170</v>
      </c>
      <c r="D24" s="583" t="s">
        <v>279</v>
      </c>
      <c r="E24" s="498"/>
      <c r="F24" s="529"/>
      <c r="G24" s="761">
        <v>1200</v>
      </c>
      <c r="H24" s="761"/>
      <c r="I24" s="761">
        <v>1200</v>
      </c>
      <c r="J24" s="401"/>
      <c r="K24" s="401"/>
      <c r="L24" s="401"/>
      <c r="M24" s="398">
        <f t="shared" si="3"/>
        <v>1200</v>
      </c>
      <c r="N24" s="398"/>
      <c r="O24" s="398">
        <f t="shared" si="4"/>
        <v>1200</v>
      </c>
    </row>
    <row r="25" spans="1:15" ht="15" customHeight="1">
      <c r="A25" s="496"/>
      <c r="B25" s="497"/>
      <c r="C25" s="285" t="s">
        <v>171</v>
      </c>
      <c r="D25" s="583" t="s">
        <v>280</v>
      </c>
      <c r="E25" s="498"/>
      <c r="F25" s="529"/>
      <c r="G25" s="761">
        <v>560</v>
      </c>
      <c r="H25" s="761"/>
      <c r="I25" s="761">
        <v>560</v>
      </c>
      <c r="J25" s="401"/>
      <c r="K25" s="401"/>
      <c r="L25" s="401"/>
      <c r="M25" s="398">
        <f t="shared" si="3"/>
        <v>560</v>
      </c>
      <c r="N25" s="398"/>
      <c r="O25" s="398">
        <f t="shared" si="4"/>
        <v>560</v>
      </c>
    </row>
    <row r="26" spans="1:15" ht="15" customHeight="1">
      <c r="A26" s="496"/>
      <c r="B26" s="497"/>
      <c r="C26" s="285" t="s">
        <v>173</v>
      </c>
      <c r="D26" s="580" t="s">
        <v>281</v>
      </c>
      <c r="E26" s="584"/>
      <c r="F26" s="530"/>
      <c r="G26" s="761">
        <v>0</v>
      </c>
      <c r="H26" s="761">
        <v>2600</v>
      </c>
      <c r="I26" s="761">
        <v>2600</v>
      </c>
      <c r="J26" s="401"/>
      <c r="K26" s="401"/>
      <c r="L26" s="401"/>
      <c r="M26" s="398">
        <f t="shared" si="3"/>
        <v>0</v>
      </c>
      <c r="N26" s="398">
        <v>2600</v>
      </c>
      <c r="O26" s="398">
        <f t="shared" si="4"/>
        <v>2600</v>
      </c>
    </row>
    <row r="27" spans="1:15" ht="15" customHeight="1">
      <c r="A27" s="496"/>
      <c r="B27" s="497"/>
      <c r="C27" s="285" t="s">
        <v>658</v>
      </c>
      <c r="D27" s="580" t="s">
        <v>282</v>
      </c>
      <c r="E27" s="584"/>
      <c r="F27" s="530"/>
      <c r="G27" s="761">
        <v>1000</v>
      </c>
      <c r="H27" s="761"/>
      <c r="I27" s="761">
        <v>1000</v>
      </c>
      <c r="J27" s="401"/>
      <c r="K27" s="401"/>
      <c r="L27" s="401"/>
      <c r="M27" s="398">
        <f t="shared" si="3"/>
        <v>1000</v>
      </c>
      <c r="N27" s="398"/>
      <c r="O27" s="398">
        <f t="shared" si="4"/>
        <v>1000</v>
      </c>
    </row>
    <row r="28" spans="1:15" ht="15" customHeight="1">
      <c r="A28" s="496"/>
      <c r="B28" s="497"/>
      <c r="C28" s="285" t="s">
        <v>659</v>
      </c>
      <c r="D28" s="580" t="s">
        <v>283</v>
      </c>
      <c r="E28" s="584"/>
      <c r="F28" s="530"/>
      <c r="G28" s="761">
        <v>700</v>
      </c>
      <c r="H28" s="761"/>
      <c r="I28" s="761">
        <v>700</v>
      </c>
      <c r="J28" s="401"/>
      <c r="K28" s="401"/>
      <c r="L28" s="401"/>
      <c r="M28" s="398">
        <f t="shared" si="3"/>
        <v>700</v>
      </c>
      <c r="N28" s="398"/>
      <c r="O28" s="398">
        <f t="shared" si="4"/>
        <v>700</v>
      </c>
    </row>
    <row r="29" spans="1:15" ht="15" customHeight="1">
      <c r="A29" s="496"/>
      <c r="B29" s="497"/>
      <c r="C29" s="285" t="s">
        <v>987</v>
      </c>
      <c r="D29" s="580" t="s">
        <v>284</v>
      </c>
      <c r="E29" s="584"/>
      <c r="F29" s="530" t="s">
        <v>1176</v>
      </c>
      <c r="G29" s="761">
        <v>750</v>
      </c>
      <c r="H29" s="761"/>
      <c r="I29" s="761">
        <v>750</v>
      </c>
      <c r="J29" s="401">
        <v>-750</v>
      </c>
      <c r="K29" s="401">
        <v>750</v>
      </c>
      <c r="L29" s="401"/>
      <c r="M29" s="398">
        <f t="shared" si="3"/>
        <v>0</v>
      </c>
      <c r="N29" s="398">
        <v>750</v>
      </c>
      <c r="O29" s="398">
        <f t="shared" si="4"/>
        <v>750</v>
      </c>
    </row>
    <row r="30" spans="1:15" ht="15" customHeight="1">
      <c r="A30" s="496"/>
      <c r="B30" s="497"/>
      <c r="C30" s="285" t="s">
        <v>285</v>
      </c>
      <c r="D30" s="580" t="s">
        <v>286</v>
      </c>
      <c r="E30" s="585"/>
      <c r="F30" s="530"/>
      <c r="G30" s="761">
        <v>500</v>
      </c>
      <c r="H30" s="761"/>
      <c r="I30" s="761">
        <v>500</v>
      </c>
      <c r="J30" s="401"/>
      <c r="K30" s="401"/>
      <c r="L30" s="401"/>
      <c r="M30" s="398">
        <f t="shared" si="3"/>
        <v>500</v>
      </c>
      <c r="N30" s="398"/>
      <c r="O30" s="398">
        <f t="shared" si="4"/>
        <v>500</v>
      </c>
    </row>
    <row r="31" spans="1:15" ht="15" customHeight="1">
      <c r="A31" s="496"/>
      <c r="B31" s="497"/>
      <c r="C31" s="286"/>
      <c r="D31" s="499" t="s">
        <v>265</v>
      </c>
      <c r="E31" s="474"/>
      <c r="F31" s="530"/>
      <c r="G31" s="761">
        <v>0</v>
      </c>
      <c r="H31" s="761"/>
      <c r="I31" s="761">
        <v>0</v>
      </c>
      <c r="J31" s="401"/>
      <c r="K31" s="401"/>
      <c r="L31" s="401"/>
      <c r="M31" s="398">
        <f t="shared" si="3"/>
        <v>0</v>
      </c>
      <c r="N31" s="398"/>
      <c r="O31" s="398">
        <f t="shared" si="4"/>
        <v>0</v>
      </c>
    </row>
    <row r="32" spans="1:15" ht="24.75" customHeight="1">
      <c r="A32" s="496"/>
      <c r="B32" s="497"/>
      <c r="C32" s="286" t="s">
        <v>677</v>
      </c>
      <c r="D32" s="493" t="s">
        <v>575</v>
      </c>
      <c r="E32" s="474" t="s">
        <v>477</v>
      </c>
      <c r="F32" s="530" t="s">
        <v>1171</v>
      </c>
      <c r="G32" s="761">
        <v>46926</v>
      </c>
      <c r="H32" s="761"/>
      <c r="I32" s="761">
        <v>46926</v>
      </c>
      <c r="J32" s="401">
        <v>2110</v>
      </c>
      <c r="K32" s="401"/>
      <c r="L32" s="401">
        <v>2110</v>
      </c>
      <c r="M32" s="398">
        <f t="shared" si="3"/>
        <v>49036</v>
      </c>
      <c r="N32" s="398"/>
      <c r="O32" s="398">
        <f t="shared" si="4"/>
        <v>49036</v>
      </c>
    </row>
    <row r="33" spans="1:15" ht="15" customHeight="1">
      <c r="A33" s="496"/>
      <c r="B33" s="497"/>
      <c r="C33" s="286" t="s">
        <v>941</v>
      </c>
      <c r="D33" s="841" t="s">
        <v>220</v>
      </c>
      <c r="E33" s="841"/>
      <c r="F33" s="362"/>
      <c r="G33" s="761">
        <v>1000</v>
      </c>
      <c r="H33" s="761"/>
      <c r="I33" s="761">
        <v>1000</v>
      </c>
      <c r="J33" s="401"/>
      <c r="K33" s="401"/>
      <c r="L33" s="401"/>
      <c r="M33" s="398">
        <f t="shared" si="3"/>
        <v>1000</v>
      </c>
      <c r="N33" s="398"/>
      <c r="O33" s="398">
        <f t="shared" si="4"/>
        <v>1000</v>
      </c>
    </row>
    <row r="34" spans="1:15" ht="15" customHeight="1">
      <c r="A34" s="496"/>
      <c r="B34" s="497"/>
      <c r="C34" s="286" t="s">
        <v>942</v>
      </c>
      <c r="D34" s="841" t="s">
        <v>569</v>
      </c>
      <c r="E34" s="841"/>
      <c r="F34" s="529" t="s">
        <v>656</v>
      </c>
      <c r="G34" s="761">
        <v>9235</v>
      </c>
      <c r="H34" s="761"/>
      <c r="I34" s="761">
        <v>9235</v>
      </c>
      <c r="J34" s="401">
        <v>-885</v>
      </c>
      <c r="K34" s="401"/>
      <c r="L34" s="401">
        <v>-885</v>
      </c>
      <c r="M34" s="398">
        <f t="shared" si="3"/>
        <v>8350</v>
      </c>
      <c r="N34" s="398"/>
      <c r="O34" s="398">
        <f t="shared" si="4"/>
        <v>8350</v>
      </c>
    </row>
    <row r="35" spans="1:15" ht="24.75" customHeight="1">
      <c r="A35" s="496"/>
      <c r="B35" s="497"/>
      <c r="C35" s="286" t="s">
        <v>950</v>
      </c>
      <c r="D35" s="494" t="s">
        <v>574</v>
      </c>
      <c r="E35" s="474"/>
      <c r="F35" s="529" t="s">
        <v>656</v>
      </c>
      <c r="G35" s="398">
        <v>206013</v>
      </c>
      <c r="H35" s="398"/>
      <c r="I35" s="398">
        <v>206013</v>
      </c>
      <c r="J35" s="401">
        <v>-2555</v>
      </c>
      <c r="K35" s="401"/>
      <c r="L35" s="401">
        <v>-2555</v>
      </c>
      <c r="M35" s="398">
        <f t="shared" si="3"/>
        <v>203458</v>
      </c>
      <c r="N35" s="398"/>
      <c r="O35" s="398">
        <f t="shared" si="4"/>
        <v>203458</v>
      </c>
    </row>
    <row r="36" spans="1:15" ht="12.75" customHeight="1">
      <c r="A36" s="204"/>
      <c r="B36" s="205"/>
      <c r="C36" s="197"/>
      <c r="D36" s="351" t="s">
        <v>506</v>
      </c>
      <c r="E36" s="361"/>
      <c r="F36" s="778"/>
      <c r="G36" s="206">
        <f aca="true" t="shared" si="5" ref="G36:O36">SUM(G18:G35)</f>
        <v>271614</v>
      </c>
      <c r="H36" s="206">
        <f t="shared" si="5"/>
        <v>4220</v>
      </c>
      <c r="I36" s="206">
        <f t="shared" si="5"/>
        <v>275834</v>
      </c>
      <c r="J36" s="620">
        <f t="shared" si="5"/>
        <v>-2190</v>
      </c>
      <c r="K36" s="620">
        <f t="shared" si="5"/>
        <v>915</v>
      </c>
      <c r="L36" s="620">
        <f t="shared" si="5"/>
        <v>-1275</v>
      </c>
      <c r="M36" s="620">
        <f t="shared" si="5"/>
        <v>269424</v>
      </c>
      <c r="N36" s="620">
        <f t="shared" si="5"/>
        <v>5135</v>
      </c>
      <c r="O36" s="620">
        <f t="shared" si="5"/>
        <v>274559</v>
      </c>
    </row>
    <row r="37" spans="1:15" ht="13.5" customHeight="1">
      <c r="A37" s="207">
        <v>1</v>
      </c>
      <c r="B37" s="208">
        <v>14</v>
      </c>
      <c r="C37" s="209"/>
      <c r="D37" s="353" t="s">
        <v>494</v>
      </c>
      <c r="E37" s="364"/>
      <c r="F37" s="779"/>
      <c r="G37" s="761"/>
      <c r="H37" s="761"/>
      <c r="I37" s="761"/>
      <c r="J37" s="405"/>
      <c r="K37" s="405"/>
      <c r="L37" s="405"/>
      <c r="M37" s="398"/>
      <c r="N37" s="398"/>
      <c r="O37" s="398"/>
    </row>
    <row r="38" spans="1:15" ht="13.5" customHeight="1">
      <c r="A38" s="207"/>
      <c r="B38" s="208"/>
      <c r="C38" s="213" t="s">
        <v>1008</v>
      </c>
      <c r="D38" s="333" t="s">
        <v>459</v>
      </c>
      <c r="E38" s="798"/>
      <c r="F38" s="779" t="s">
        <v>656</v>
      </c>
      <c r="G38" s="761"/>
      <c r="H38" s="761"/>
      <c r="I38" s="761"/>
      <c r="J38" s="405"/>
      <c r="K38" s="400">
        <v>4224</v>
      </c>
      <c r="L38" s="398">
        <v>4224</v>
      </c>
      <c r="M38" s="398"/>
      <c r="N38" s="398">
        <v>4224</v>
      </c>
      <c r="O38" s="398">
        <v>4224</v>
      </c>
    </row>
    <row r="39" spans="1:15" ht="24.75" customHeight="1">
      <c r="A39" s="207"/>
      <c r="B39" s="208"/>
      <c r="C39" s="213" t="s">
        <v>120</v>
      </c>
      <c r="D39" s="454" t="s">
        <v>460</v>
      </c>
      <c r="E39" s="798"/>
      <c r="F39" s="779" t="s">
        <v>656</v>
      </c>
      <c r="G39" s="761"/>
      <c r="H39" s="761"/>
      <c r="I39" s="761"/>
      <c r="J39" s="405"/>
      <c r="K39" s="400">
        <v>9000</v>
      </c>
      <c r="L39" s="398">
        <v>9000</v>
      </c>
      <c r="M39" s="398"/>
      <c r="N39" s="398">
        <v>9000</v>
      </c>
      <c r="O39" s="398">
        <v>9000</v>
      </c>
    </row>
    <row r="40" spans="1:15" ht="24.75" customHeight="1">
      <c r="A40" s="207"/>
      <c r="B40" s="208"/>
      <c r="C40" s="213" t="s">
        <v>122</v>
      </c>
      <c r="D40" s="839" t="s">
        <v>469</v>
      </c>
      <c r="E40" s="840"/>
      <c r="F40" s="779" t="s">
        <v>656</v>
      </c>
      <c r="G40" s="761"/>
      <c r="H40" s="761"/>
      <c r="I40" s="761"/>
      <c r="J40" s="405"/>
      <c r="K40" s="400">
        <v>500</v>
      </c>
      <c r="L40" s="398">
        <v>500</v>
      </c>
      <c r="M40" s="398"/>
      <c r="N40" s="398">
        <v>500</v>
      </c>
      <c r="O40" s="398">
        <v>500</v>
      </c>
    </row>
    <row r="41" spans="1:15" ht="15" customHeight="1">
      <c r="A41" s="202"/>
      <c r="B41" s="203"/>
      <c r="C41" s="128"/>
      <c r="D41" s="499" t="s">
        <v>265</v>
      </c>
      <c r="E41" s="541"/>
      <c r="F41" s="398"/>
      <c r="G41" s="761"/>
      <c r="H41" s="761"/>
      <c r="I41" s="761"/>
      <c r="J41" s="398"/>
      <c r="K41" s="398"/>
      <c r="L41" s="398"/>
      <c r="M41" s="398"/>
      <c r="N41" s="398"/>
      <c r="O41" s="398"/>
    </row>
    <row r="42" spans="1:15" ht="15" customHeight="1">
      <c r="A42" s="202"/>
      <c r="B42" s="203"/>
      <c r="C42" s="286" t="s">
        <v>677</v>
      </c>
      <c r="D42" s="377" t="s">
        <v>943</v>
      </c>
      <c r="E42" s="331"/>
      <c r="F42" s="331"/>
      <c r="G42" s="761">
        <v>3950</v>
      </c>
      <c r="H42" s="761"/>
      <c r="I42" s="761">
        <v>3950</v>
      </c>
      <c r="J42" s="398"/>
      <c r="K42" s="398"/>
      <c r="L42" s="398"/>
      <c r="M42" s="398">
        <f>SUM(G42+J42)</f>
        <v>3950</v>
      </c>
      <c r="N42" s="398"/>
      <c r="O42" s="398">
        <f>SUM(I42+L42)</f>
        <v>3950</v>
      </c>
    </row>
    <row r="43" spans="1:15" ht="15" customHeight="1">
      <c r="A43" s="202"/>
      <c r="B43" s="203"/>
      <c r="C43" s="286" t="s">
        <v>941</v>
      </c>
      <c r="D43" s="377" t="s">
        <v>576</v>
      </c>
      <c r="E43" s="331"/>
      <c r="F43" s="331"/>
      <c r="G43" s="761">
        <v>300</v>
      </c>
      <c r="H43" s="761"/>
      <c r="I43" s="761">
        <v>300</v>
      </c>
      <c r="J43" s="398"/>
      <c r="K43" s="398"/>
      <c r="L43" s="398"/>
      <c r="M43" s="398">
        <f>SUM(G43+J43)</f>
        <v>300</v>
      </c>
      <c r="N43" s="398"/>
      <c r="O43" s="398">
        <f>SUM(I43+L43)</f>
        <v>300</v>
      </c>
    </row>
    <row r="44" spans="1:15" ht="16.5" customHeight="1">
      <c r="A44" s="196"/>
      <c r="B44" s="247"/>
      <c r="C44" s="197"/>
      <c r="D44" s="354" t="s">
        <v>435</v>
      </c>
      <c r="E44" s="365"/>
      <c r="F44" s="780"/>
      <c r="G44" s="206">
        <f>SUM(G41:G43)</f>
        <v>4250</v>
      </c>
      <c r="H44" s="206">
        <f>SUM(H41:H43)</f>
        <v>0</v>
      </c>
      <c r="I44" s="206">
        <f>SUM(I41:I43)</f>
        <v>4250</v>
      </c>
      <c r="J44" s="620">
        <f aca="true" t="shared" si="6" ref="J44:O44">SUM(J38:J43)</f>
        <v>0</v>
      </c>
      <c r="K44" s="620">
        <f t="shared" si="6"/>
        <v>13724</v>
      </c>
      <c r="L44" s="620">
        <f t="shared" si="6"/>
        <v>13724</v>
      </c>
      <c r="M44" s="620">
        <f t="shared" si="6"/>
        <v>4250</v>
      </c>
      <c r="N44" s="620">
        <f t="shared" si="6"/>
        <v>13724</v>
      </c>
      <c r="O44" s="620">
        <f t="shared" si="6"/>
        <v>17974</v>
      </c>
    </row>
    <row r="45" spans="1:15" ht="12" customHeight="1">
      <c r="A45" s="308">
        <v>1</v>
      </c>
      <c r="B45" s="309">
        <v>15</v>
      </c>
      <c r="C45" s="310"/>
      <c r="D45" s="355" t="s">
        <v>195</v>
      </c>
      <c r="E45" s="359"/>
      <c r="F45" s="693"/>
      <c r="G45" s="761"/>
      <c r="H45" s="761"/>
      <c r="I45" s="761"/>
      <c r="J45" s="697"/>
      <c r="K45" s="697"/>
      <c r="L45" s="697"/>
      <c r="M45" s="398"/>
      <c r="N45" s="398"/>
      <c r="O45" s="398"/>
    </row>
    <row r="46" spans="1:15" ht="15" customHeight="1">
      <c r="A46" s="308"/>
      <c r="B46" s="309"/>
      <c r="C46" s="283">
        <v>1</v>
      </c>
      <c r="D46" s="332" t="s">
        <v>255</v>
      </c>
      <c r="E46" s="453"/>
      <c r="F46" s="693"/>
      <c r="G46" s="761"/>
      <c r="H46" s="761"/>
      <c r="I46" s="761"/>
      <c r="J46" s="697"/>
      <c r="K46" s="697"/>
      <c r="L46" s="697"/>
      <c r="M46" s="398"/>
      <c r="N46" s="398"/>
      <c r="O46" s="398"/>
    </row>
    <row r="47" spans="1:15" ht="15" customHeight="1">
      <c r="A47" s="308"/>
      <c r="B47" s="309"/>
      <c r="C47" s="284" t="s">
        <v>117</v>
      </c>
      <c r="D47" s="586" t="s">
        <v>287</v>
      </c>
      <c r="E47" s="453"/>
      <c r="F47" s="693"/>
      <c r="G47" s="761">
        <v>3000</v>
      </c>
      <c r="H47" s="761"/>
      <c r="I47" s="761">
        <v>3000</v>
      </c>
      <c r="J47" s="697"/>
      <c r="K47" s="697"/>
      <c r="L47" s="697"/>
      <c r="M47" s="398">
        <f>SUM(G47+J47)</f>
        <v>3000</v>
      </c>
      <c r="N47" s="398"/>
      <c r="O47" s="398">
        <f>SUM(I47+L47)</f>
        <v>3000</v>
      </c>
    </row>
    <row r="48" spans="1:15" ht="15" customHeight="1">
      <c r="A48" s="308"/>
      <c r="B48" s="309"/>
      <c r="C48" s="284" t="s">
        <v>118</v>
      </c>
      <c r="D48" s="586" t="s">
        <v>288</v>
      </c>
      <c r="E48" s="453"/>
      <c r="F48" s="693" t="s">
        <v>1171</v>
      </c>
      <c r="G48" s="761">
        <v>1000</v>
      </c>
      <c r="H48" s="761"/>
      <c r="I48" s="761">
        <v>1000</v>
      </c>
      <c r="J48" s="513">
        <v>-1000</v>
      </c>
      <c r="K48" s="513"/>
      <c r="L48" s="513">
        <v>-1000</v>
      </c>
      <c r="M48" s="398">
        <f aca="true" t="shared" si="7" ref="M48:M107">SUM(G48+J48)</f>
        <v>0</v>
      </c>
      <c r="N48" s="398"/>
      <c r="O48" s="398">
        <f aca="true" t="shared" si="8" ref="O48:O107">SUM(I48+L48)</f>
        <v>0</v>
      </c>
    </row>
    <row r="49" spans="1:15" ht="15" customHeight="1">
      <c r="A49" s="308"/>
      <c r="B49" s="309"/>
      <c r="C49" s="284" t="s">
        <v>119</v>
      </c>
      <c r="D49" s="586" t="s">
        <v>289</v>
      </c>
      <c r="E49" s="453"/>
      <c r="F49" s="366"/>
      <c r="G49" s="761">
        <v>1096</v>
      </c>
      <c r="H49" s="761"/>
      <c r="I49" s="761">
        <v>1096</v>
      </c>
      <c r="J49" s="697"/>
      <c r="K49" s="697"/>
      <c r="L49" s="697"/>
      <c r="M49" s="398">
        <f t="shared" si="7"/>
        <v>1096</v>
      </c>
      <c r="N49" s="398"/>
      <c r="O49" s="398">
        <f t="shared" si="8"/>
        <v>1096</v>
      </c>
    </row>
    <row r="50" spans="1:15" ht="15" customHeight="1">
      <c r="A50" s="308"/>
      <c r="B50" s="309"/>
      <c r="C50" s="284" t="s">
        <v>98</v>
      </c>
      <c r="D50" s="587" t="s">
        <v>290</v>
      </c>
      <c r="E50" s="453"/>
      <c r="F50" s="366" t="s">
        <v>1171</v>
      </c>
      <c r="G50" s="761">
        <v>1100</v>
      </c>
      <c r="H50" s="761"/>
      <c r="I50" s="761">
        <v>1100</v>
      </c>
      <c r="J50" s="513">
        <v>-1100</v>
      </c>
      <c r="K50" s="513"/>
      <c r="L50" s="513">
        <v>-1100</v>
      </c>
      <c r="M50" s="398">
        <f t="shared" si="7"/>
        <v>0</v>
      </c>
      <c r="N50" s="398"/>
      <c r="O50" s="398">
        <f t="shared" si="8"/>
        <v>0</v>
      </c>
    </row>
    <row r="51" spans="1:15" ht="15" customHeight="1">
      <c r="A51" s="308"/>
      <c r="B51" s="309"/>
      <c r="C51" s="284"/>
      <c r="D51" s="499" t="s">
        <v>265</v>
      </c>
      <c r="E51" s="453"/>
      <c r="F51" s="366"/>
      <c r="G51" s="761">
        <v>0</v>
      </c>
      <c r="H51" s="761"/>
      <c r="I51" s="761">
        <v>0</v>
      </c>
      <c r="J51" s="697"/>
      <c r="K51" s="697"/>
      <c r="L51" s="697"/>
      <c r="M51" s="398">
        <f t="shared" si="7"/>
        <v>0</v>
      </c>
      <c r="N51" s="398"/>
      <c r="O51" s="398">
        <f t="shared" si="8"/>
        <v>0</v>
      </c>
    </row>
    <row r="52" spans="1:15" ht="15" customHeight="1">
      <c r="A52" s="308"/>
      <c r="B52" s="309"/>
      <c r="C52" s="284" t="s">
        <v>677</v>
      </c>
      <c r="D52" s="500" t="s">
        <v>578</v>
      </c>
      <c r="E52" s="453"/>
      <c r="F52" s="366"/>
      <c r="G52" s="761">
        <v>2550</v>
      </c>
      <c r="H52" s="761"/>
      <c r="I52" s="761">
        <v>2550</v>
      </c>
      <c r="J52" s="697"/>
      <c r="K52" s="697"/>
      <c r="L52" s="697"/>
      <c r="M52" s="398">
        <f t="shared" si="7"/>
        <v>2550</v>
      </c>
      <c r="N52" s="398"/>
      <c r="O52" s="398">
        <f t="shared" si="8"/>
        <v>2550</v>
      </c>
    </row>
    <row r="53" spans="1:15" ht="15" customHeight="1">
      <c r="A53" s="308"/>
      <c r="B53" s="309"/>
      <c r="C53" s="284" t="s">
        <v>941</v>
      </c>
      <c r="D53" s="501" t="s">
        <v>581</v>
      </c>
      <c r="E53" s="453"/>
      <c r="F53" s="366"/>
      <c r="G53" s="761">
        <v>5336</v>
      </c>
      <c r="H53" s="761"/>
      <c r="I53" s="761">
        <v>5336</v>
      </c>
      <c r="J53" s="697"/>
      <c r="K53" s="697"/>
      <c r="L53" s="697"/>
      <c r="M53" s="398">
        <f t="shared" si="7"/>
        <v>5336</v>
      </c>
      <c r="N53" s="398"/>
      <c r="O53" s="398">
        <f t="shared" si="8"/>
        <v>5336</v>
      </c>
    </row>
    <row r="54" spans="1:15" ht="15" customHeight="1">
      <c r="A54" s="308"/>
      <c r="B54" s="309"/>
      <c r="C54" s="284" t="s">
        <v>942</v>
      </c>
      <c r="D54" s="538" t="s">
        <v>292</v>
      </c>
      <c r="E54" s="453"/>
      <c r="F54" s="366"/>
      <c r="G54" s="761">
        <v>1688</v>
      </c>
      <c r="H54" s="761"/>
      <c r="I54" s="761">
        <v>1688</v>
      </c>
      <c r="J54" s="697"/>
      <c r="K54" s="697"/>
      <c r="L54" s="697"/>
      <c r="M54" s="398">
        <f t="shared" si="7"/>
        <v>1688</v>
      </c>
      <c r="N54" s="398"/>
      <c r="O54" s="398">
        <f t="shared" si="8"/>
        <v>1688</v>
      </c>
    </row>
    <row r="55" spans="1:15" ht="34.5" customHeight="1">
      <c r="A55" s="308"/>
      <c r="B55" s="309"/>
      <c r="C55" s="284" t="s">
        <v>950</v>
      </c>
      <c r="D55" s="588" t="s">
        <v>563</v>
      </c>
      <c r="E55" s="589" t="s">
        <v>477</v>
      </c>
      <c r="F55" s="366"/>
      <c r="G55" s="761">
        <v>38920</v>
      </c>
      <c r="H55" s="761"/>
      <c r="I55" s="761">
        <v>38920</v>
      </c>
      <c r="J55" s="697"/>
      <c r="K55" s="697"/>
      <c r="L55" s="697"/>
      <c r="M55" s="398">
        <f t="shared" si="7"/>
        <v>38920</v>
      </c>
      <c r="N55" s="398"/>
      <c r="O55" s="398">
        <f t="shared" si="8"/>
        <v>38920</v>
      </c>
    </row>
    <row r="56" spans="1:15" ht="15" customHeight="1">
      <c r="A56" s="308"/>
      <c r="B56" s="309"/>
      <c r="C56" s="281" t="s">
        <v>120</v>
      </c>
      <c r="D56" s="336" t="s">
        <v>293</v>
      </c>
      <c r="E56" s="453"/>
      <c r="F56" s="366"/>
      <c r="G56" s="761">
        <v>0</v>
      </c>
      <c r="H56" s="761"/>
      <c r="I56" s="761">
        <v>0</v>
      </c>
      <c r="J56" s="697"/>
      <c r="K56" s="697"/>
      <c r="L56" s="697"/>
      <c r="M56" s="398">
        <f t="shared" si="7"/>
        <v>0</v>
      </c>
      <c r="N56" s="398"/>
      <c r="O56" s="398">
        <f t="shared" si="8"/>
        <v>0</v>
      </c>
    </row>
    <row r="57" spans="1:15" ht="15" customHeight="1">
      <c r="A57" s="308"/>
      <c r="B57" s="309"/>
      <c r="C57" s="284" t="s">
        <v>121</v>
      </c>
      <c r="D57" s="586" t="s">
        <v>566</v>
      </c>
      <c r="E57" s="453"/>
      <c r="F57" s="366"/>
      <c r="G57" s="761">
        <v>700</v>
      </c>
      <c r="H57" s="761"/>
      <c r="I57" s="761">
        <v>700</v>
      </c>
      <c r="J57" s="697"/>
      <c r="K57" s="697"/>
      <c r="L57" s="697"/>
      <c r="M57" s="398">
        <f t="shared" si="7"/>
        <v>700</v>
      </c>
      <c r="N57" s="398"/>
      <c r="O57" s="398">
        <f t="shared" si="8"/>
        <v>700</v>
      </c>
    </row>
    <row r="58" spans="1:15" ht="15" customHeight="1">
      <c r="A58" s="308"/>
      <c r="B58" s="309"/>
      <c r="C58" s="284"/>
      <c r="D58" s="499" t="s">
        <v>265</v>
      </c>
      <c r="E58" s="453"/>
      <c r="F58" s="366"/>
      <c r="G58" s="761">
        <v>0</v>
      </c>
      <c r="H58" s="761"/>
      <c r="I58" s="761">
        <v>0</v>
      </c>
      <c r="J58" s="697"/>
      <c r="K58" s="697"/>
      <c r="L58" s="697"/>
      <c r="M58" s="398">
        <f t="shared" si="7"/>
        <v>0</v>
      </c>
      <c r="N58" s="398"/>
      <c r="O58" s="398">
        <f t="shared" si="8"/>
        <v>0</v>
      </c>
    </row>
    <row r="59" spans="1:15" ht="15" customHeight="1">
      <c r="A59" s="308"/>
      <c r="B59" s="309"/>
      <c r="C59" s="282" t="s">
        <v>122</v>
      </c>
      <c r="D59" s="339" t="s">
        <v>1009</v>
      </c>
      <c r="E59" s="453"/>
      <c r="F59" s="366"/>
      <c r="G59" s="761">
        <v>0</v>
      </c>
      <c r="H59" s="761"/>
      <c r="I59" s="761">
        <v>0</v>
      </c>
      <c r="J59" s="697"/>
      <c r="K59" s="697"/>
      <c r="L59" s="697"/>
      <c r="M59" s="398">
        <f t="shared" si="7"/>
        <v>0</v>
      </c>
      <c r="N59" s="398"/>
      <c r="O59" s="398">
        <f t="shared" si="8"/>
        <v>0</v>
      </c>
    </row>
    <row r="60" spans="1:15" ht="15" customHeight="1">
      <c r="A60" s="308"/>
      <c r="B60" s="309"/>
      <c r="C60" s="284" t="s">
        <v>127</v>
      </c>
      <c r="D60" s="590" t="s">
        <v>294</v>
      </c>
      <c r="E60" s="453"/>
      <c r="F60" s="693" t="s">
        <v>1171</v>
      </c>
      <c r="G60" s="761">
        <v>15722</v>
      </c>
      <c r="H60" s="761"/>
      <c r="I60" s="761">
        <v>15722</v>
      </c>
      <c r="J60" s="513">
        <v>134</v>
      </c>
      <c r="K60" s="513"/>
      <c r="L60" s="513">
        <v>134</v>
      </c>
      <c r="M60" s="398">
        <f t="shared" si="7"/>
        <v>15856</v>
      </c>
      <c r="N60" s="398"/>
      <c r="O60" s="398">
        <f t="shared" si="8"/>
        <v>15856</v>
      </c>
    </row>
    <row r="61" spans="1:15" ht="15" customHeight="1">
      <c r="A61" s="308"/>
      <c r="B61" s="309"/>
      <c r="C61" s="284" t="s">
        <v>128</v>
      </c>
      <c r="D61" s="590" t="s">
        <v>295</v>
      </c>
      <c r="E61" s="453"/>
      <c r="F61" s="693"/>
      <c r="G61" s="761">
        <v>900</v>
      </c>
      <c r="H61" s="761"/>
      <c r="I61" s="761">
        <v>900</v>
      </c>
      <c r="J61" s="513"/>
      <c r="K61" s="513"/>
      <c r="L61" s="513"/>
      <c r="M61" s="398">
        <f t="shared" si="7"/>
        <v>900</v>
      </c>
      <c r="N61" s="398"/>
      <c r="O61" s="398">
        <f t="shared" si="8"/>
        <v>900</v>
      </c>
    </row>
    <row r="62" spans="1:15" ht="24.75" customHeight="1">
      <c r="A62" s="308"/>
      <c r="B62" s="309"/>
      <c r="C62" s="284" t="s">
        <v>165</v>
      </c>
      <c r="D62" s="590" t="s">
        <v>296</v>
      </c>
      <c r="E62" s="453"/>
      <c r="F62" s="693" t="s">
        <v>1171</v>
      </c>
      <c r="G62" s="761">
        <v>500</v>
      </c>
      <c r="H62" s="761"/>
      <c r="I62" s="761">
        <v>500</v>
      </c>
      <c r="J62" s="513">
        <v>-500</v>
      </c>
      <c r="K62" s="513"/>
      <c r="L62" s="513">
        <v>-500</v>
      </c>
      <c r="M62" s="398">
        <f t="shared" si="7"/>
        <v>0</v>
      </c>
      <c r="N62" s="398"/>
      <c r="O62" s="398">
        <f t="shared" si="8"/>
        <v>0</v>
      </c>
    </row>
    <row r="63" spans="1:15" ht="24.75" customHeight="1">
      <c r="A63" s="308"/>
      <c r="B63" s="309"/>
      <c r="C63" s="284" t="s">
        <v>589</v>
      </c>
      <c r="D63" s="590" t="s">
        <v>297</v>
      </c>
      <c r="E63" s="453"/>
      <c r="F63" s="693" t="s">
        <v>1171</v>
      </c>
      <c r="G63" s="761">
        <v>1000</v>
      </c>
      <c r="H63" s="761"/>
      <c r="I63" s="761">
        <v>1000</v>
      </c>
      <c r="J63" s="513">
        <v>1656</v>
      </c>
      <c r="K63" s="513"/>
      <c r="L63" s="513">
        <v>1656</v>
      </c>
      <c r="M63" s="398">
        <f t="shared" si="7"/>
        <v>2656</v>
      </c>
      <c r="N63" s="398"/>
      <c r="O63" s="398">
        <f t="shared" si="8"/>
        <v>2656</v>
      </c>
    </row>
    <row r="64" spans="1:15" ht="24.75" customHeight="1">
      <c r="A64" s="308"/>
      <c r="B64" s="309"/>
      <c r="C64" s="284" t="s">
        <v>298</v>
      </c>
      <c r="D64" s="590" t="s">
        <v>299</v>
      </c>
      <c r="E64" s="453"/>
      <c r="F64" s="693" t="s">
        <v>1171</v>
      </c>
      <c r="G64" s="761">
        <v>1000</v>
      </c>
      <c r="H64" s="761"/>
      <c r="I64" s="761">
        <v>1000</v>
      </c>
      <c r="J64" s="513">
        <v>-1000</v>
      </c>
      <c r="K64" s="513"/>
      <c r="L64" s="513">
        <v>-1000</v>
      </c>
      <c r="M64" s="398">
        <f t="shared" si="7"/>
        <v>0</v>
      </c>
      <c r="N64" s="398"/>
      <c r="O64" s="398">
        <f t="shared" si="8"/>
        <v>0</v>
      </c>
    </row>
    <row r="65" spans="1:15" ht="15" customHeight="1">
      <c r="A65" s="308"/>
      <c r="B65" s="309"/>
      <c r="C65" s="284" t="s">
        <v>300</v>
      </c>
      <c r="D65" s="590" t="s">
        <v>301</v>
      </c>
      <c r="E65" s="453"/>
      <c r="F65" s="693"/>
      <c r="G65" s="761">
        <v>1800</v>
      </c>
      <c r="H65" s="761"/>
      <c r="I65" s="761">
        <v>1800</v>
      </c>
      <c r="J65" s="513"/>
      <c r="K65" s="513"/>
      <c r="L65" s="513"/>
      <c r="M65" s="398">
        <f t="shared" si="7"/>
        <v>1800</v>
      </c>
      <c r="N65" s="398"/>
      <c r="O65" s="398">
        <f t="shared" si="8"/>
        <v>1800</v>
      </c>
    </row>
    <row r="66" spans="1:15" ht="15" customHeight="1">
      <c r="A66" s="308"/>
      <c r="B66" s="309"/>
      <c r="C66" s="284" t="s">
        <v>302</v>
      </c>
      <c r="D66" s="590" t="s">
        <v>303</v>
      </c>
      <c r="E66" s="453"/>
      <c r="F66" s="693"/>
      <c r="G66" s="761">
        <v>1200</v>
      </c>
      <c r="H66" s="761"/>
      <c r="I66" s="761">
        <v>1200</v>
      </c>
      <c r="J66" s="513"/>
      <c r="K66" s="513"/>
      <c r="L66" s="513"/>
      <c r="M66" s="398">
        <f t="shared" si="7"/>
        <v>1200</v>
      </c>
      <c r="N66" s="398"/>
      <c r="O66" s="398">
        <f t="shared" si="8"/>
        <v>1200</v>
      </c>
    </row>
    <row r="67" spans="1:15" ht="15" customHeight="1">
      <c r="A67" s="308"/>
      <c r="B67" s="309"/>
      <c r="C67" s="284" t="s">
        <v>304</v>
      </c>
      <c r="D67" s="590" t="s">
        <v>305</v>
      </c>
      <c r="E67" s="453"/>
      <c r="F67" s="693"/>
      <c r="G67" s="761">
        <v>700</v>
      </c>
      <c r="H67" s="761"/>
      <c r="I67" s="761">
        <v>700</v>
      </c>
      <c r="J67" s="513"/>
      <c r="K67" s="513"/>
      <c r="L67" s="513"/>
      <c r="M67" s="398">
        <f t="shared" si="7"/>
        <v>700</v>
      </c>
      <c r="N67" s="398"/>
      <c r="O67" s="398">
        <f t="shared" si="8"/>
        <v>700</v>
      </c>
    </row>
    <row r="68" spans="1:15" ht="15" customHeight="1">
      <c r="A68" s="308"/>
      <c r="B68" s="309"/>
      <c r="C68" s="284" t="s">
        <v>306</v>
      </c>
      <c r="D68" s="590" t="s">
        <v>307</v>
      </c>
      <c r="E68" s="453"/>
      <c r="F68" s="693" t="s">
        <v>1171</v>
      </c>
      <c r="G68" s="761">
        <v>1700</v>
      </c>
      <c r="H68" s="761"/>
      <c r="I68" s="761">
        <v>1700</v>
      </c>
      <c r="J68" s="513">
        <v>66</v>
      </c>
      <c r="K68" s="513"/>
      <c r="L68" s="513">
        <v>66</v>
      </c>
      <c r="M68" s="398">
        <f t="shared" si="7"/>
        <v>1766</v>
      </c>
      <c r="N68" s="398"/>
      <c r="O68" s="398">
        <f t="shared" si="8"/>
        <v>1766</v>
      </c>
    </row>
    <row r="69" spans="1:15" ht="15" customHeight="1">
      <c r="A69" s="308"/>
      <c r="B69" s="309"/>
      <c r="C69" s="284" t="s">
        <v>308</v>
      </c>
      <c r="D69" s="590" t="s">
        <v>309</v>
      </c>
      <c r="E69" s="453"/>
      <c r="F69" s="693"/>
      <c r="G69" s="761">
        <v>2000</v>
      </c>
      <c r="H69" s="761"/>
      <c r="I69" s="761">
        <v>2000</v>
      </c>
      <c r="J69" s="513"/>
      <c r="K69" s="513"/>
      <c r="L69" s="513"/>
      <c r="M69" s="398">
        <f t="shared" si="7"/>
        <v>2000</v>
      </c>
      <c r="N69" s="398"/>
      <c r="O69" s="398">
        <f t="shared" si="8"/>
        <v>2000</v>
      </c>
    </row>
    <row r="70" spans="1:15" ht="15" customHeight="1">
      <c r="A70" s="308"/>
      <c r="B70" s="309"/>
      <c r="C70" s="284" t="s">
        <v>441</v>
      </c>
      <c r="D70" s="590" t="s">
        <v>442</v>
      </c>
      <c r="E70" s="453"/>
      <c r="F70" s="693" t="s">
        <v>656</v>
      </c>
      <c r="G70" s="761"/>
      <c r="H70" s="761">
        <v>187</v>
      </c>
      <c r="I70" s="761">
        <v>187</v>
      </c>
      <c r="J70" s="513"/>
      <c r="K70" s="513">
        <v>29</v>
      </c>
      <c r="L70" s="513">
        <v>29</v>
      </c>
      <c r="M70" s="398"/>
      <c r="N70" s="398">
        <v>216</v>
      </c>
      <c r="O70" s="398">
        <f t="shared" si="8"/>
        <v>216</v>
      </c>
    </row>
    <row r="71" spans="1:15" ht="15" customHeight="1">
      <c r="A71" s="308"/>
      <c r="B71" s="309"/>
      <c r="C71" s="284"/>
      <c r="D71" s="499" t="s">
        <v>265</v>
      </c>
      <c r="E71" s="453"/>
      <c r="F71" s="693"/>
      <c r="G71" s="761">
        <v>0</v>
      </c>
      <c r="H71" s="761"/>
      <c r="I71" s="761">
        <v>0</v>
      </c>
      <c r="J71" s="513"/>
      <c r="K71" s="513"/>
      <c r="L71" s="513"/>
      <c r="M71" s="398">
        <f t="shared" si="7"/>
        <v>0</v>
      </c>
      <c r="N71" s="398"/>
      <c r="O71" s="398">
        <f t="shared" si="8"/>
        <v>0</v>
      </c>
    </row>
    <row r="72" spans="1:15" ht="15" customHeight="1">
      <c r="A72" s="308"/>
      <c r="B72" s="309"/>
      <c r="C72" s="284" t="s">
        <v>952</v>
      </c>
      <c r="D72" s="337" t="s">
        <v>587</v>
      </c>
      <c r="E72" s="453"/>
      <c r="F72" s="693"/>
      <c r="G72" s="761">
        <v>1000</v>
      </c>
      <c r="H72" s="761"/>
      <c r="I72" s="761">
        <v>1000</v>
      </c>
      <c r="J72" s="513"/>
      <c r="K72" s="513"/>
      <c r="L72" s="513"/>
      <c r="M72" s="398">
        <f t="shared" si="7"/>
        <v>1000</v>
      </c>
      <c r="N72" s="398"/>
      <c r="O72" s="398">
        <f t="shared" si="8"/>
        <v>1000</v>
      </c>
    </row>
    <row r="73" spans="1:15" ht="15" customHeight="1">
      <c r="A73" s="308"/>
      <c r="B73" s="309"/>
      <c r="C73" s="284" t="s">
        <v>953</v>
      </c>
      <c r="D73" s="337" t="s">
        <v>588</v>
      </c>
      <c r="E73" s="453"/>
      <c r="F73" s="693" t="s">
        <v>1171</v>
      </c>
      <c r="G73" s="761">
        <v>1650</v>
      </c>
      <c r="H73" s="761"/>
      <c r="I73" s="761">
        <v>1650</v>
      </c>
      <c r="J73" s="513">
        <v>27</v>
      </c>
      <c r="K73" s="513"/>
      <c r="L73" s="513">
        <v>27</v>
      </c>
      <c r="M73" s="398">
        <f t="shared" si="7"/>
        <v>1677</v>
      </c>
      <c r="N73" s="398"/>
      <c r="O73" s="398">
        <f t="shared" si="8"/>
        <v>1677</v>
      </c>
    </row>
    <row r="74" spans="1:15" ht="15" customHeight="1">
      <c r="A74" s="308"/>
      <c r="B74" s="309"/>
      <c r="C74" s="284" t="s">
        <v>310</v>
      </c>
      <c r="D74" s="537" t="s">
        <v>311</v>
      </c>
      <c r="E74" s="453"/>
      <c r="F74" s="693" t="s">
        <v>1171</v>
      </c>
      <c r="G74" s="761">
        <v>183</v>
      </c>
      <c r="H74" s="761"/>
      <c r="I74" s="761">
        <v>183</v>
      </c>
      <c r="J74" s="513">
        <v>3</v>
      </c>
      <c r="K74" s="513"/>
      <c r="L74" s="513">
        <v>3</v>
      </c>
      <c r="M74" s="398">
        <f t="shared" si="7"/>
        <v>186</v>
      </c>
      <c r="N74" s="398"/>
      <c r="O74" s="398">
        <f t="shared" si="8"/>
        <v>186</v>
      </c>
    </row>
    <row r="75" spans="1:15" ht="15" customHeight="1">
      <c r="A75" s="308"/>
      <c r="B75" s="309"/>
      <c r="C75" s="284" t="s">
        <v>312</v>
      </c>
      <c r="D75" s="537" t="s">
        <v>313</v>
      </c>
      <c r="E75" s="453"/>
      <c r="F75" s="693" t="s">
        <v>1171</v>
      </c>
      <c r="G75" s="761">
        <v>1113</v>
      </c>
      <c r="H75" s="761"/>
      <c r="I75" s="761">
        <v>1113</v>
      </c>
      <c r="J75" s="513">
        <v>18</v>
      </c>
      <c r="K75" s="513"/>
      <c r="L75" s="513">
        <v>18</v>
      </c>
      <c r="M75" s="398">
        <f t="shared" si="7"/>
        <v>1131</v>
      </c>
      <c r="N75" s="398"/>
      <c r="O75" s="398">
        <f t="shared" si="8"/>
        <v>1131</v>
      </c>
    </row>
    <row r="76" spans="1:15" ht="15" customHeight="1">
      <c r="A76" s="308"/>
      <c r="B76" s="309"/>
      <c r="C76" s="282" t="s">
        <v>124</v>
      </c>
      <c r="D76" s="339" t="s">
        <v>129</v>
      </c>
      <c r="E76" s="453"/>
      <c r="F76" s="366"/>
      <c r="G76" s="761">
        <v>0</v>
      </c>
      <c r="H76" s="761"/>
      <c r="I76" s="761">
        <v>0</v>
      </c>
      <c r="J76" s="513"/>
      <c r="K76" s="513"/>
      <c r="L76" s="513"/>
      <c r="M76" s="398">
        <f t="shared" si="7"/>
        <v>0</v>
      </c>
      <c r="N76" s="398"/>
      <c r="O76" s="398">
        <f t="shared" si="8"/>
        <v>0</v>
      </c>
    </row>
    <row r="77" spans="1:15" ht="15" customHeight="1">
      <c r="A77" s="308"/>
      <c r="B77" s="309"/>
      <c r="C77" s="284" t="s">
        <v>132</v>
      </c>
      <c r="D77" s="591" t="s">
        <v>1001</v>
      </c>
      <c r="E77" s="453"/>
      <c r="F77" s="366"/>
      <c r="G77" s="761">
        <v>8000</v>
      </c>
      <c r="H77" s="761"/>
      <c r="I77" s="761">
        <v>8000</v>
      </c>
      <c r="J77" s="513"/>
      <c r="K77" s="513"/>
      <c r="L77" s="513"/>
      <c r="M77" s="398">
        <f t="shared" si="7"/>
        <v>8000</v>
      </c>
      <c r="N77" s="398"/>
      <c r="O77" s="398">
        <f t="shared" si="8"/>
        <v>8000</v>
      </c>
    </row>
    <row r="78" spans="1:15" ht="15" customHeight="1">
      <c r="A78" s="308"/>
      <c r="B78" s="309"/>
      <c r="C78" s="284" t="s">
        <v>133</v>
      </c>
      <c r="D78" s="591" t="s">
        <v>598</v>
      </c>
      <c r="E78" s="453"/>
      <c r="F78" s="366"/>
      <c r="G78" s="761">
        <v>7000</v>
      </c>
      <c r="H78" s="761"/>
      <c r="I78" s="761">
        <v>7000</v>
      </c>
      <c r="J78" s="513"/>
      <c r="K78" s="513"/>
      <c r="L78" s="513"/>
      <c r="M78" s="398">
        <f t="shared" si="7"/>
        <v>7000</v>
      </c>
      <c r="N78" s="398"/>
      <c r="O78" s="398">
        <f t="shared" si="8"/>
        <v>7000</v>
      </c>
    </row>
    <row r="79" spans="1:15" ht="15" customHeight="1">
      <c r="A79" s="308"/>
      <c r="B79" s="309"/>
      <c r="C79" s="284" t="s">
        <v>134</v>
      </c>
      <c r="D79" s="591" t="s">
        <v>597</v>
      </c>
      <c r="E79" s="453"/>
      <c r="F79" s="366"/>
      <c r="G79" s="761">
        <v>3000</v>
      </c>
      <c r="H79" s="761"/>
      <c r="I79" s="761">
        <v>3000</v>
      </c>
      <c r="J79" s="513"/>
      <c r="K79" s="513"/>
      <c r="L79" s="513"/>
      <c r="M79" s="398">
        <f t="shared" si="7"/>
        <v>3000</v>
      </c>
      <c r="N79" s="398"/>
      <c r="O79" s="398">
        <f t="shared" si="8"/>
        <v>3000</v>
      </c>
    </row>
    <row r="80" spans="1:15" ht="15" customHeight="1">
      <c r="A80" s="308"/>
      <c r="B80" s="309"/>
      <c r="C80" s="284" t="s">
        <v>135</v>
      </c>
      <c r="D80" s="591" t="s">
        <v>314</v>
      </c>
      <c r="E80" s="453"/>
      <c r="F80" s="366"/>
      <c r="G80" s="761">
        <v>4000</v>
      </c>
      <c r="H80" s="761"/>
      <c r="I80" s="761">
        <v>4000</v>
      </c>
      <c r="J80" s="513"/>
      <c r="K80" s="513"/>
      <c r="L80" s="513"/>
      <c r="M80" s="398">
        <f t="shared" si="7"/>
        <v>4000</v>
      </c>
      <c r="N80" s="398"/>
      <c r="O80" s="398">
        <f t="shared" si="8"/>
        <v>4000</v>
      </c>
    </row>
    <row r="81" spans="1:15" ht="15" customHeight="1">
      <c r="A81" s="308"/>
      <c r="B81" s="309"/>
      <c r="C81" s="284" t="s">
        <v>136</v>
      </c>
      <c r="D81" s="591" t="s">
        <v>315</v>
      </c>
      <c r="E81" s="453"/>
      <c r="F81" s="693"/>
      <c r="G81" s="761">
        <v>0</v>
      </c>
      <c r="H81" s="761"/>
      <c r="I81" s="761">
        <v>0</v>
      </c>
      <c r="J81" s="513"/>
      <c r="K81" s="513"/>
      <c r="L81" s="513"/>
      <c r="M81" s="398">
        <f t="shared" si="7"/>
        <v>0</v>
      </c>
      <c r="N81" s="398"/>
      <c r="O81" s="398">
        <f t="shared" si="8"/>
        <v>0</v>
      </c>
    </row>
    <row r="82" spans="1:15" ht="15" customHeight="1">
      <c r="A82" s="308"/>
      <c r="B82" s="309"/>
      <c r="C82" s="284" t="s">
        <v>137</v>
      </c>
      <c r="D82" s="591" t="s">
        <v>316</v>
      </c>
      <c r="E82" s="453"/>
      <c r="F82" s="366"/>
      <c r="G82" s="761">
        <v>3000</v>
      </c>
      <c r="H82" s="761"/>
      <c r="I82" s="761">
        <v>3000</v>
      </c>
      <c r="J82" s="513"/>
      <c r="K82" s="513"/>
      <c r="L82" s="513"/>
      <c r="M82" s="398">
        <f t="shared" si="7"/>
        <v>3000</v>
      </c>
      <c r="N82" s="398"/>
      <c r="O82" s="398">
        <f t="shared" si="8"/>
        <v>3000</v>
      </c>
    </row>
    <row r="83" spans="1:15" ht="24.75" customHeight="1">
      <c r="A83" s="308"/>
      <c r="B83" s="309"/>
      <c r="C83" s="284" t="s">
        <v>138</v>
      </c>
      <c r="D83" s="591" t="s">
        <v>317</v>
      </c>
      <c r="E83" s="453"/>
      <c r="F83" s="366"/>
      <c r="G83" s="761">
        <v>3000</v>
      </c>
      <c r="H83" s="761"/>
      <c r="I83" s="761">
        <v>3000</v>
      </c>
      <c r="J83" s="513"/>
      <c r="K83" s="513"/>
      <c r="L83" s="513"/>
      <c r="M83" s="398">
        <f t="shared" si="7"/>
        <v>3000</v>
      </c>
      <c r="N83" s="398"/>
      <c r="O83" s="398">
        <f t="shared" si="8"/>
        <v>3000</v>
      </c>
    </row>
    <row r="84" spans="1:15" ht="15" customHeight="1">
      <c r="A84" s="308"/>
      <c r="B84" s="309"/>
      <c r="C84" s="284" t="s">
        <v>139</v>
      </c>
      <c r="D84" s="591" t="s">
        <v>318</v>
      </c>
      <c r="E84" s="453"/>
      <c r="F84" s="693"/>
      <c r="G84" s="761">
        <v>3528</v>
      </c>
      <c r="H84" s="761"/>
      <c r="I84" s="761">
        <v>3528</v>
      </c>
      <c r="J84" s="513"/>
      <c r="K84" s="513"/>
      <c r="L84" s="513"/>
      <c r="M84" s="398">
        <f t="shared" si="7"/>
        <v>3528</v>
      </c>
      <c r="N84" s="398"/>
      <c r="O84" s="398">
        <f t="shared" si="8"/>
        <v>3528</v>
      </c>
    </row>
    <row r="85" spans="1:15" ht="15" customHeight="1">
      <c r="A85" s="308"/>
      <c r="B85" s="309"/>
      <c r="C85" s="284" t="s">
        <v>140</v>
      </c>
      <c r="D85" s="591" t="s">
        <v>319</v>
      </c>
      <c r="E85" s="453"/>
      <c r="F85" s="366"/>
      <c r="G85" s="761">
        <v>4000</v>
      </c>
      <c r="H85" s="761"/>
      <c r="I85" s="761">
        <v>4000</v>
      </c>
      <c r="J85" s="513"/>
      <c r="K85" s="513"/>
      <c r="L85" s="513"/>
      <c r="M85" s="398">
        <f t="shared" si="7"/>
        <v>4000</v>
      </c>
      <c r="N85" s="398"/>
      <c r="O85" s="398">
        <f t="shared" si="8"/>
        <v>4000</v>
      </c>
    </row>
    <row r="86" spans="1:15" ht="15" customHeight="1">
      <c r="A86" s="308"/>
      <c r="B86" s="309"/>
      <c r="C86" s="284" t="s">
        <v>141</v>
      </c>
      <c r="D86" s="592" t="s">
        <v>320</v>
      </c>
      <c r="E86" s="453"/>
      <c r="F86" s="366"/>
      <c r="G86" s="761">
        <v>500</v>
      </c>
      <c r="H86" s="761"/>
      <c r="I86" s="761">
        <v>500</v>
      </c>
      <c r="J86" s="513"/>
      <c r="K86" s="513"/>
      <c r="L86" s="513"/>
      <c r="M86" s="398">
        <f t="shared" si="7"/>
        <v>500</v>
      </c>
      <c r="N86" s="398"/>
      <c r="O86" s="398">
        <f t="shared" si="8"/>
        <v>500</v>
      </c>
    </row>
    <row r="87" spans="1:15" ht="15" customHeight="1">
      <c r="A87" s="308"/>
      <c r="B87" s="309"/>
      <c r="C87" s="284" t="s">
        <v>142</v>
      </c>
      <c r="D87" s="592" t="s">
        <v>321</v>
      </c>
      <c r="E87" s="453"/>
      <c r="F87" s="693" t="s">
        <v>1171</v>
      </c>
      <c r="G87" s="761">
        <v>7500</v>
      </c>
      <c r="H87" s="761"/>
      <c r="I87" s="761">
        <v>7500</v>
      </c>
      <c r="J87" s="513">
        <v>-6500</v>
      </c>
      <c r="K87" s="513"/>
      <c r="L87" s="513">
        <v>-6500</v>
      </c>
      <c r="M87" s="398">
        <f t="shared" si="7"/>
        <v>1000</v>
      </c>
      <c r="N87" s="398"/>
      <c r="O87" s="398">
        <f t="shared" si="8"/>
        <v>1000</v>
      </c>
    </row>
    <row r="88" spans="1:15" ht="15" customHeight="1">
      <c r="A88" s="308"/>
      <c r="B88" s="309"/>
      <c r="C88" s="284" t="s">
        <v>143</v>
      </c>
      <c r="D88" s="592" t="s">
        <v>322</v>
      </c>
      <c r="E88" s="453"/>
      <c r="F88" s="366"/>
      <c r="G88" s="761">
        <v>1000</v>
      </c>
      <c r="H88" s="761"/>
      <c r="I88" s="761">
        <v>1000</v>
      </c>
      <c r="J88" s="513"/>
      <c r="K88" s="513"/>
      <c r="L88" s="513"/>
      <c r="M88" s="398">
        <f t="shared" si="7"/>
        <v>1000</v>
      </c>
      <c r="N88" s="398"/>
      <c r="O88" s="398">
        <f t="shared" si="8"/>
        <v>1000</v>
      </c>
    </row>
    <row r="89" spans="1:15" ht="15" customHeight="1">
      <c r="A89" s="308"/>
      <c r="B89" s="309"/>
      <c r="C89" s="284" t="s">
        <v>144</v>
      </c>
      <c r="D89" s="592" t="s">
        <v>323</v>
      </c>
      <c r="E89" s="453"/>
      <c r="F89" s="366"/>
      <c r="G89" s="761">
        <v>1500</v>
      </c>
      <c r="H89" s="761"/>
      <c r="I89" s="761">
        <v>1500</v>
      </c>
      <c r="J89" s="513"/>
      <c r="K89" s="513"/>
      <c r="L89" s="513"/>
      <c r="M89" s="398">
        <f t="shared" si="7"/>
        <v>1500</v>
      </c>
      <c r="N89" s="398"/>
      <c r="O89" s="398">
        <f t="shared" si="8"/>
        <v>1500</v>
      </c>
    </row>
    <row r="90" spans="1:15" ht="15" customHeight="1">
      <c r="A90" s="308"/>
      <c r="B90" s="309"/>
      <c r="C90" s="284" t="s">
        <v>145</v>
      </c>
      <c r="D90" s="592" t="s">
        <v>325</v>
      </c>
      <c r="E90" s="453"/>
      <c r="F90" s="366"/>
      <c r="G90" s="761">
        <v>500</v>
      </c>
      <c r="H90" s="761"/>
      <c r="I90" s="761">
        <v>500</v>
      </c>
      <c r="J90" s="513"/>
      <c r="K90" s="513"/>
      <c r="L90" s="513"/>
      <c r="M90" s="398">
        <f t="shared" si="7"/>
        <v>500</v>
      </c>
      <c r="N90" s="398"/>
      <c r="O90" s="398">
        <f t="shared" si="8"/>
        <v>500</v>
      </c>
    </row>
    <row r="91" spans="1:15" ht="15" customHeight="1">
      <c r="A91" s="308"/>
      <c r="B91" s="309"/>
      <c r="C91" s="284" t="s">
        <v>146</v>
      </c>
      <c r="D91" s="592" t="s">
        <v>326</v>
      </c>
      <c r="E91" s="453"/>
      <c r="F91" s="366"/>
      <c r="G91" s="761">
        <v>3000</v>
      </c>
      <c r="H91" s="761"/>
      <c r="I91" s="761">
        <v>3000</v>
      </c>
      <c r="J91" s="513"/>
      <c r="K91" s="513"/>
      <c r="L91" s="513"/>
      <c r="M91" s="398">
        <f t="shared" si="7"/>
        <v>3000</v>
      </c>
      <c r="N91" s="398"/>
      <c r="O91" s="398">
        <f t="shared" si="8"/>
        <v>3000</v>
      </c>
    </row>
    <row r="92" spans="1:15" ht="24.75" customHeight="1">
      <c r="A92" s="308"/>
      <c r="B92" s="309"/>
      <c r="C92" s="284" t="s">
        <v>104</v>
      </c>
      <c r="D92" s="600" t="s">
        <v>383</v>
      </c>
      <c r="E92" s="340"/>
      <c r="F92" s="403"/>
      <c r="G92" s="761">
        <v>5000</v>
      </c>
      <c r="H92" s="761"/>
      <c r="I92" s="761">
        <v>5000</v>
      </c>
      <c r="J92" s="753"/>
      <c r="K92" s="753"/>
      <c r="L92" s="753"/>
      <c r="M92" s="398">
        <f>SUM(G92+J92)</f>
        <v>5000</v>
      </c>
      <c r="N92" s="398"/>
      <c r="O92" s="398">
        <f>SUM(I92+L92)</f>
        <v>5000</v>
      </c>
    </row>
    <row r="93" spans="1:15" ht="24.75" customHeight="1">
      <c r="A93" s="308"/>
      <c r="B93" s="309"/>
      <c r="C93" s="284" t="s">
        <v>105</v>
      </c>
      <c r="D93" s="600" t="s">
        <v>1205</v>
      </c>
      <c r="E93" s="340"/>
      <c r="F93" s="754" t="s">
        <v>1176</v>
      </c>
      <c r="G93" s="761"/>
      <c r="H93" s="761"/>
      <c r="I93" s="761"/>
      <c r="J93" s="753">
        <v>300</v>
      </c>
      <c r="K93" s="753"/>
      <c r="L93" s="753">
        <v>300</v>
      </c>
      <c r="M93" s="398">
        <f>SUM(G93+J93)</f>
        <v>300</v>
      </c>
      <c r="N93" s="398"/>
      <c r="O93" s="398">
        <f>SUM(I93+L93)</f>
        <v>300</v>
      </c>
    </row>
    <row r="94" spans="1:15" ht="15" customHeight="1">
      <c r="A94" s="308"/>
      <c r="B94" s="309"/>
      <c r="C94" s="284"/>
      <c r="D94" s="499" t="s">
        <v>265</v>
      </c>
      <c r="E94" s="453"/>
      <c r="F94" s="366"/>
      <c r="G94" s="761">
        <v>0</v>
      </c>
      <c r="H94" s="761"/>
      <c r="I94" s="761">
        <v>0</v>
      </c>
      <c r="J94" s="513"/>
      <c r="K94" s="513"/>
      <c r="L94" s="513"/>
      <c r="M94" s="398">
        <f t="shared" si="7"/>
        <v>0</v>
      </c>
      <c r="N94" s="398"/>
      <c r="O94" s="398">
        <f t="shared" si="8"/>
        <v>0</v>
      </c>
    </row>
    <row r="95" spans="1:15" ht="15" customHeight="1">
      <c r="A95" s="308"/>
      <c r="B95" s="309"/>
      <c r="C95" s="284" t="s">
        <v>955</v>
      </c>
      <c r="D95" s="593" t="s">
        <v>1002</v>
      </c>
      <c r="E95" s="453"/>
      <c r="F95" s="366"/>
      <c r="G95" s="761">
        <v>7461</v>
      </c>
      <c r="H95" s="761"/>
      <c r="I95" s="761">
        <v>7461</v>
      </c>
      <c r="J95" s="513"/>
      <c r="K95" s="513"/>
      <c r="L95" s="513"/>
      <c r="M95" s="398">
        <f t="shared" si="7"/>
        <v>7461</v>
      </c>
      <c r="N95" s="398"/>
      <c r="O95" s="398">
        <f t="shared" si="8"/>
        <v>7461</v>
      </c>
    </row>
    <row r="96" spans="1:15" ht="15" customHeight="1">
      <c r="A96" s="308"/>
      <c r="B96" s="309"/>
      <c r="C96" s="284" t="s">
        <v>956</v>
      </c>
      <c r="D96" s="503" t="s">
        <v>617</v>
      </c>
      <c r="E96" s="453"/>
      <c r="F96" s="366"/>
      <c r="G96" s="761">
        <v>9693</v>
      </c>
      <c r="H96" s="761"/>
      <c r="I96" s="761">
        <v>9693</v>
      </c>
      <c r="J96" s="513"/>
      <c r="K96" s="513"/>
      <c r="L96" s="513"/>
      <c r="M96" s="398">
        <f t="shared" si="7"/>
        <v>9693</v>
      </c>
      <c r="N96" s="398"/>
      <c r="O96" s="398">
        <f t="shared" si="8"/>
        <v>9693</v>
      </c>
    </row>
    <row r="97" spans="1:15" ht="15" customHeight="1">
      <c r="A97" s="308"/>
      <c r="B97" s="309"/>
      <c r="C97" s="284" t="s">
        <v>957</v>
      </c>
      <c r="D97" s="504" t="s">
        <v>619</v>
      </c>
      <c r="E97" s="453"/>
      <c r="F97" s="366"/>
      <c r="G97" s="761">
        <v>4000</v>
      </c>
      <c r="H97" s="761"/>
      <c r="I97" s="761">
        <v>4000</v>
      </c>
      <c r="J97" s="513"/>
      <c r="K97" s="513"/>
      <c r="L97" s="513"/>
      <c r="M97" s="398">
        <f t="shared" si="7"/>
        <v>4000</v>
      </c>
      <c r="N97" s="398"/>
      <c r="O97" s="398">
        <f t="shared" si="8"/>
        <v>4000</v>
      </c>
    </row>
    <row r="98" spans="1:15" ht="15" customHeight="1">
      <c r="A98" s="308"/>
      <c r="B98" s="309"/>
      <c r="C98" s="284" t="s">
        <v>958</v>
      </c>
      <c r="D98" s="504" t="s">
        <v>620</v>
      </c>
      <c r="E98" s="453"/>
      <c r="F98" s="366"/>
      <c r="G98" s="761">
        <v>419</v>
      </c>
      <c r="H98" s="761"/>
      <c r="I98" s="761">
        <v>419</v>
      </c>
      <c r="J98" s="513"/>
      <c r="K98" s="513"/>
      <c r="L98" s="513"/>
      <c r="M98" s="398">
        <f t="shared" si="7"/>
        <v>419</v>
      </c>
      <c r="N98" s="398"/>
      <c r="O98" s="398">
        <f t="shared" si="8"/>
        <v>419</v>
      </c>
    </row>
    <row r="99" spans="1:15" ht="15" customHeight="1">
      <c r="A99" s="308"/>
      <c r="B99" s="309"/>
      <c r="C99" s="284" t="s">
        <v>959</v>
      </c>
      <c r="D99" s="526" t="s">
        <v>622</v>
      </c>
      <c r="E99" s="453"/>
      <c r="F99" s="366"/>
      <c r="G99" s="761">
        <v>242</v>
      </c>
      <c r="H99" s="761"/>
      <c r="I99" s="761">
        <v>242</v>
      </c>
      <c r="J99" s="513"/>
      <c r="K99" s="513"/>
      <c r="L99" s="513"/>
      <c r="M99" s="398">
        <f t="shared" si="7"/>
        <v>242</v>
      </c>
      <c r="N99" s="398"/>
      <c r="O99" s="398">
        <f t="shared" si="8"/>
        <v>242</v>
      </c>
    </row>
    <row r="100" spans="1:15" ht="15" customHeight="1">
      <c r="A100" s="308"/>
      <c r="B100" s="309"/>
      <c r="C100" s="282" t="s">
        <v>125</v>
      </c>
      <c r="D100" s="339" t="s">
        <v>1010</v>
      </c>
      <c r="E100" s="453"/>
      <c r="F100" s="366"/>
      <c r="G100" s="761"/>
      <c r="H100" s="761"/>
      <c r="I100" s="761"/>
      <c r="J100" s="513"/>
      <c r="K100" s="513"/>
      <c r="L100" s="513"/>
      <c r="M100" s="398"/>
      <c r="N100" s="398"/>
      <c r="O100" s="398"/>
    </row>
    <row r="101" spans="1:15" ht="15" customHeight="1">
      <c r="A101" s="308"/>
      <c r="B101" s="309"/>
      <c r="C101" s="287" t="s">
        <v>147</v>
      </c>
      <c r="D101" s="594" t="s">
        <v>328</v>
      </c>
      <c r="E101" s="453"/>
      <c r="F101" s="366"/>
      <c r="G101" s="761">
        <v>750</v>
      </c>
      <c r="H101" s="761"/>
      <c r="I101" s="761">
        <v>750</v>
      </c>
      <c r="J101" s="513"/>
      <c r="K101" s="513"/>
      <c r="L101" s="513"/>
      <c r="M101" s="398">
        <f t="shared" si="7"/>
        <v>750</v>
      </c>
      <c r="N101" s="398"/>
      <c r="O101" s="398">
        <f t="shared" si="8"/>
        <v>750</v>
      </c>
    </row>
    <row r="102" spans="1:15" ht="24.75" customHeight="1">
      <c r="A102" s="308"/>
      <c r="B102" s="309"/>
      <c r="C102" s="287" t="s">
        <v>148</v>
      </c>
      <c r="D102" s="341" t="s">
        <v>329</v>
      </c>
      <c r="E102" s="453"/>
      <c r="F102" s="366"/>
      <c r="G102" s="761">
        <v>500</v>
      </c>
      <c r="H102" s="761"/>
      <c r="I102" s="761">
        <v>500</v>
      </c>
      <c r="J102" s="513"/>
      <c r="K102" s="513"/>
      <c r="L102" s="513"/>
      <c r="M102" s="398">
        <f t="shared" si="7"/>
        <v>500</v>
      </c>
      <c r="N102" s="398"/>
      <c r="O102" s="398">
        <f t="shared" si="8"/>
        <v>500</v>
      </c>
    </row>
    <row r="103" spans="1:15" ht="15" customHeight="1">
      <c r="A103" s="308"/>
      <c r="B103" s="309"/>
      <c r="C103" s="287" t="s">
        <v>149</v>
      </c>
      <c r="D103" s="337" t="s">
        <v>330</v>
      </c>
      <c r="E103" s="453"/>
      <c r="F103" s="366"/>
      <c r="G103" s="761">
        <v>300</v>
      </c>
      <c r="H103" s="761"/>
      <c r="I103" s="761">
        <v>300</v>
      </c>
      <c r="J103" s="697"/>
      <c r="K103" s="697"/>
      <c r="L103" s="697"/>
      <c r="M103" s="398">
        <f t="shared" si="7"/>
        <v>300</v>
      </c>
      <c r="N103" s="398"/>
      <c r="O103" s="398">
        <f t="shared" si="8"/>
        <v>300</v>
      </c>
    </row>
    <row r="104" spans="1:15" ht="15" customHeight="1">
      <c r="A104" s="308"/>
      <c r="B104" s="309"/>
      <c r="C104" s="287" t="s">
        <v>150</v>
      </c>
      <c r="D104" s="337" t="s">
        <v>331</v>
      </c>
      <c r="E104" s="453"/>
      <c r="F104" s="366"/>
      <c r="G104" s="761">
        <v>900</v>
      </c>
      <c r="H104" s="761"/>
      <c r="I104" s="761">
        <v>900</v>
      </c>
      <c r="J104" s="697"/>
      <c r="K104" s="697"/>
      <c r="L104" s="697"/>
      <c r="M104" s="398">
        <f t="shared" si="7"/>
        <v>900</v>
      </c>
      <c r="N104" s="398"/>
      <c r="O104" s="398">
        <f t="shared" si="8"/>
        <v>900</v>
      </c>
    </row>
    <row r="105" spans="1:15" ht="15" customHeight="1">
      <c r="A105" s="308"/>
      <c r="B105" s="309"/>
      <c r="C105" s="287" t="s">
        <v>151</v>
      </c>
      <c r="D105" s="337" t="s">
        <v>332</v>
      </c>
      <c r="E105" s="453"/>
      <c r="F105" s="366"/>
      <c r="G105" s="761">
        <v>500</v>
      </c>
      <c r="H105" s="761"/>
      <c r="I105" s="761">
        <v>500</v>
      </c>
      <c r="J105" s="697"/>
      <c r="K105" s="697"/>
      <c r="L105" s="697"/>
      <c r="M105" s="398">
        <f t="shared" si="7"/>
        <v>500</v>
      </c>
      <c r="N105" s="398"/>
      <c r="O105" s="398">
        <f t="shared" si="8"/>
        <v>500</v>
      </c>
    </row>
    <row r="106" spans="1:15" ht="15" customHeight="1">
      <c r="A106" s="308"/>
      <c r="B106" s="309"/>
      <c r="C106" s="287" t="s">
        <v>152</v>
      </c>
      <c r="D106" s="592" t="s">
        <v>333</v>
      </c>
      <c r="E106" s="453"/>
      <c r="F106" s="366"/>
      <c r="G106" s="761">
        <v>1000</v>
      </c>
      <c r="H106" s="761"/>
      <c r="I106" s="761">
        <v>1000</v>
      </c>
      <c r="J106" s="697"/>
      <c r="K106" s="697"/>
      <c r="L106" s="697"/>
      <c r="M106" s="398">
        <f t="shared" si="7"/>
        <v>1000</v>
      </c>
      <c r="N106" s="398"/>
      <c r="O106" s="398">
        <f t="shared" si="8"/>
        <v>1000</v>
      </c>
    </row>
    <row r="107" spans="1:15" ht="24.75" customHeight="1">
      <c r="A107" s="308"/>
      <c r="B107" s="309"/>
      <c r="C107" s="287" t="s">
        <v>153</v>
      </c>
      <c r="D107" s="592" t="s">
        <v>334</v>
      </c>
      <c r="E107" s="453"/>
      <c r="F107" s="366"/>
      <c r="G107" s="761">
        <v>3000</v>
      </c>
      <c r="H107" s="761"/>
      <c r="I107" s="761">
        <v>3000</v>
      </c>
      <c r="J107" s="697"/>
      <c r="K107" s="697"/>
      <c r="L107" s="697"/>
      <c r="M107" s="398">
        <f t="shared" si="7"/>
        <v>3000</v>
      </c>
      <c r="N107" s="398"/>
      <c r="O107" s="398">
        <f t="shared" si="8"/>
        <v>3000</v>
      </c>
    </row>
    <row r="108" spans="1:15" ht="15" customHeight="1">
      <c r="A108" s="308"/>
      <c r="B108" s="309"/>
      <c r="C108" s="287" t="s">
        <v>154</v>
      </c>
      <c r="D108" s="592" t="s">
        <v>335</v>
      </c>
      <c r="E108" s="453"/>
      <c r="F108" s="366"/>
      <c r="G108" s="761">
        <v>500</v>
      </c>
      <c r="H108" s="761"/>
      <c r="I108" s="761">
        <v>500</v>
      </c>
      <c r="J108" s="697"/>
      <c r="K108" s="697"/>
      <c r="L108" s="697"/>
      <c r="M108" s="398">
        <f aca="true" t="shared" si="9" ref="M108:M139">SUM(G108+J108)</f>
        <v>500</v>
      </c>
      <c r="N108" s="398"/>
      <c r="O108" s="398">
        <f aca="true" t="shared" si="10" ref="O108:O139">SUM(I108+L108)</f>
        <v>500</v>
      </c>
    </row>
    <row r="109" spans="1:15" ht="15" customHeight="1">
      <c r="A109" s="308"/>
      <c r="B109" s="309"/>
      <c r="C109" s="287" t="s">
        <v>336</v>
      </c>
      <c r="D109" s="337" t="s">
        <v>337</v>
      </c>
      <c r="E109" s="453"/>
      <c r="F109" s="366"/>
      <c r="G109" s="761">
        <v>500</v>
      </c>
      <c r="H109" s="761"/>
      <c r="I109" s="761">
        <v>500</v>
      </c>
      <c r="J109" s="697"/>
      <c r="K109" s="697"/>
      <c r="L109" s="697"/>
      <c r="M109" s="398">
        <f t="shared" si="9"/>
        <v>500</v>
      </c>
      <c r="N109" s="398"/>
      <c r="O109" s="398">
        <f t="shared" si="10"/>
        <v>500</v>
      </c>
    </row>
    <row r="110" spans="1:15" ht="15" customHeight="1">
      <c r="A110" s="308"/>
      <c r="B110" s="309"/>
      <c r="C110" s="287" t="s">
        <v>338</v>
      </c>
      <c r="D110" s="458" t="s">
        <v>339</v>
      </c>
      <c r="E110" s="453"/>
      <c r="F110" s="366"/>
      <c r="G110" s="761">
        <v>1300</v>
      </c>
      <c r="H110" s="761"/>
      <c r="I110" s="761">
        <v>1300</v>
      </c>
      <c r="J110" s="697"/>
      <c r="K110" s="697"/>
      <c r="L110" s="697"/>
      <c r="M110" s="398">
        <f t="shared" si="9"/>
        <v>1300</v>
      </c>
      <c r="N110" s="398"/>
      <c r="O110" s="398">
        <f t="shared" si="10"/>
        <v>1300</v>
      </c>
    </row>
    <row r="111" spans="1:15" ht="24.75" customHeight="1">
      <c r="A111" s="308"/>
      <c r="B111" s="309"/>
      <c r="C111" s="287" t="s">
        <v>340</v>
      </c>
      <c r="D111" s="457" t="s">
        <v>341</v>
      </c>
      <c r="E111" s="453"/>
      <c r="F111" s="693" t="s">
        <v>656</v>
      </c>
      <c r="G111" s="398">
        <v>2100</v>
      </c>
      <c r="H111" s="398"/>
      <c r="I111" s="398">
        <v>2100</v>
      </c>
      <c r="J111" s="513">
        <v>-1750</v>
      </c>
      <c r="K111" s="513"/>
      <c r="L111" s="513">
        <v>-1750</v>
      </c>
      <c r="M111" s="398">
        <f t="shared" si="9"/>
        <v>350</v>
      </c>
      <c r="N111" s="398"/>
      <c r="O111" s="398">
        <f t="shared" si="10"/>
        <v>350</v>
      </c>
    </row>
    <row r="112" spans="1:15" ht="15" customHeight="1">
      <c r="A112" s="308"/>
      <c r="B112" s="309"/>
      <c r="C112" s="282"/>
      <c r="D112" s="499" t="s">
        <v>265</v>
      </c>
      <c r="E112" s="453"/>
      <c r="F112" s="366"/>
      <c r="G112" s="761">
        <v>0</v>
      </c>
      <c r="H112" s="761"/>
      <c r="I112" s="761">
        <v>0</v>
      </c>
      <c r="J112" s="697"/>
      <c r="K112" s="697"/>
      <c r="L112" s="697"/>
      <c r="M112" s="398">
        <f t="shared" si="9"/>
        <v>0</v>
      </c>
      <c r="N112" s="398"/>
      <c r="O112" s="398">
        <f t="shared" si="10"/>
        <v>0</v>
      </c>
    </row>
    <row r="113" spans="1:15" ht="15" customHeight="1">
      <c r="A113" s="308"/>
      <c r="B113" s="309"/>
      <c r="C113" s="287" t="s">
        <v>342</v>
      </c>
      <c r="D113" s="337" t="s">
        <v>624</v>
      </c>
      <c r="E113" s="453"/>
      <c r="F113" s="366"/>
      <c r="G113" s="761">
        <v>110</v>
      </c>
      <c r="H113" s="761"/>
      <c r="I113" s="761">
        <v>110</v>
      </c>
      <c r="J113" s="697"/>
      <c r="K113" s="697"/>
      <c r="L113" s="697"/>
      <c r="M113" s="398">
        <f t="shared" si="9"/>
        <v>110</v>
      </c>
      <c r="N113" s="398"/>
      <c r="O113" s="398">
        <f t="shared" si="10"/>
        <v>110</v>
      </c>
    </row>
    <row r="114" spans="1:15" ht="15" customHeight="1">
      <c r="A114" s="308"/>
      <c r="B114" s="309"/>
      <c r="C114" s="287" t="s">
        <v>343</v>
      </c>
      <c r="D114" s="337" t="s">
        <v>645</v>
      </c>
      <c r="E114" s="453"/>
      <c r="F114" s="366"/>
      <c r="G114" s="761">
        <v>812</v>
      </c>
      <c r="H114" s="761"/>
      <c r="I114" s="761">
        <v>812</v>
      </c>
      <c r="J114" s="697"/>
      <c r="K114" s="697"/>
      <c r="L114" s="697"/>
      <c r="M114" s="398">
        <f t="shared" si="9"/>
        <v>812</v>
      </c>
      <c r="N114" s="398"/>
      <c r="O114" s="398">
        <f t="shared" si="10"/>
        <v>812</v>
      </c>
    </row>
    <row r="115" spans="1:15" ht="15" customHeight="1">
      <c r="A115" s="308"/>
      <c r="B115" s="309"/>
      <c r="C115" s="287" t="s">
        <v>344</v>
      </c>
      <c r="D115" s="337" t="s">
        <v>646</v>
      </c>
      <c r="E115" s="453"/>
      <c r="F115" s="366"/>
      <c r="G115" s="761">
        <v>651</v>
      </c>
      <c r="H115" s="761"/>
      <c r="I115" s="761">
        <v>651</v>
      </c>
      <c r="J115" s="697"/>
      <c r="K115" s="697"/>
      <c r="L115" s="697"/>
      <c r="M115" s="398">
        <f t="shared" si="9"/>
        <v>651</v>
      </c>
      <c r="N115" s="398"/>
      <c r="O115" s="398">
        <f t="shared" si="10"/>
        <v>651</v>
      </c>
    </row>
    <row r="116" spans="1:15" ht="15" customHeight="1">
      <c r="A116" s="308"/>
      <c r="B116" s="309"/>
      <c r="C116" s="282" t="s">
        <v>126</v>
      </c>
      <c r="D116" s="339" t="s">
        <v>1011</v>
      </c>
      <c r="E116" s="453"/>
      <c r="F116" s="366"/>
      <c r="G116" s="761"/>
      <c r="H116" s="761"/>
      <c r="I116" s="761"/>
      <c r="J116" s="697"/>
      <c r="K116" s="697"/>
      <c r="L116" s="697"/>
      <c r="M116" s="398"/>
      <c r="N116" s="398"/>
      <c r="O116" s="398"/>
    </row>
    <row r="117" spans="1:15" ht="15" customHeight="1">
      <c r="A117" s="308"/>
      <c r="B117" s="309"/>
      <c r="C117" s="287"/>
      <c r="D117" s="499" t="s">
        <v>393</v>
      </c>
      <c r="E117" s="453"/>
      <c r="F117" s="366"/>
      <c r="G117" s="761"/>
      <c r="H117" s="761"/>
      <c r="I117" s="761"/>
      <c r="J117" s="697"/>
      <c r="K117" s="697"/>
      <c r="L117" s="697"/>
      <c r="M117" s="398"/>
      <c r="N117" s="398"/>
      <c r="O117" s="398"/>
    </row>
    <row r="118" spans="1:15" ht="15" customHeight="1">
      <c r="A118" s="308"/>
      <c r="B118" s="309"/>
      <c r="C118" s="287" t="s">
        <v>965</v>
      </c>
      <c r="D118" s="337" t="s">
        <v>236</v>
      </c>
      <c r="E118" s="414"/>
      <c r="F118" s="338"/>
      <c r="G118" s="761">
        <v>475</v>
      </c>
      <c r="H118" s="761"/>
      <c r="I118" s="761">
        <v>475</v>
      </c>
      <c r="J118" s="398"/>
      <c r="K118" s="398"/>
      <c r="L118" s="398"/>
      <c r="M118" s="398">
        <f>SUM(G118+J118)</f>
        <v>475</v>
      </c>
      <c r="N118" s="398"/>
      <c r="O118" s="398">
        <f>SUM(I118+L118)</f>
        <v>475</v>
      </c>
    </row>
    <row r="119" spans="1:15" ht="15" customHeight="1">
      <c r="A119" s="308"/>
      <c r="B119" s="309"/>
      <c r="C119" s="287"/>
      <c r="D119" s="499" t="s">
        <v>265</v>
      </c>
      <c r="E119" s="414"/>
      <c r="F119" s="338"/>
      <c r="G119" s="761"/>
      <c r="H119" s="761"/>
      <c r="I119" s="761"/>
      <c r="J119" s="398"/>
      <c r="K119" s="398"/>
      <c r="L119" s="398"/>
      <c r="M119" s="398"/>
      <c r="N119" s="398"/>
      <c r="O119" s="398"/>
    </row>
    <row r="120" spans="1:15" ht="15" customHeight="1">
      <c r="A120" s="308"/>
      <c r="B120" s="309"/>
      <c r="C120" s="287" t="s">
        <v>653</v>
      </c>
      <c r="D120" s="615" t="s">
        <v>402</v>
      </c>
      <c r="E120" s="414"/>
      <c r="F120" s="338"/>
      <c r="G120" s="761">
        <v>500</v>
      </c>
      <c r="H120" s="761"/>
      <c r="I120" s="761">
        <v>500</v>
      </c>
      <c r="J120" s="402"/>
      <c r="K120" s="402"/>
      <c r="L120" s="402"/>
      <c r="M120" s="398">
        <f>SUM(G120+J120)</f>
        <v>500</v>
      </c>
      <c r="N120" s="398"/>
      <c r="O120" s="398">
        <f>SUM(I120+L120)</f>
        <v>500</v>
      </c>
    </row>
    <row r="121" spans="1:15" ht="15" customHeight="1">
      <c r="A121" s="308"/>
      <c r="B121" s="309"/>
      <c r="C121" s="282" t="s">
        <v>171</v>
      </c>
      <c r="D121" s="339" t="s">
        <v>172</v>
      </c>
      <c r="E121" s="453"/>
      <c r="F121" s="366"/>
      <c r="G121" s="761">
        <v>0</v>
      </c>
      <c r="H121" s="761"/>
      <c r="I121" s="761">
        <v>0</v>
      </c>
      <c r="J121" s="697"/>
      <c r="K121" s="697"/>
      <c r="L121" s="697"/>
      <c r="M121" s="398">
        <f t="shared" si="9"/>
        <v>0</v>
      </c>
      <c r="N121" s="398"/>
      <c r="O121" s="398">
        <f t="shared" si="10"/>
        <v>0</v>
      </c>
    </row>
    <row r="122" spans="1:15" ht="15" customHeight="1">
      <c r="A122" s="308"/>
      <c r="B122" s="309"/>
      <c r="C122" s="284" t="s">
        <v>345</v>
      </c>
      <c r="D122" s="595" t="s">
        <v>346</v>
      </c>
      <c r="E122" s="453"/>
      <c r="F122" s="366"/>
      <c r="G122" s="761">
        <v>1000</v>
      </c>
      <c r="H122" s="761"/>
      <c r="I122" s="761">
        <v>1000</v>
      </c>
      <c r="J122" s="697"/>
      <c r="K122" s="697"/>
      <c r="L122" s="697"/>
      <c r="M122" s="398">
        <f t="shared" si="9"/>
        <v>1000</v>
      </c>
      <c r="N122" s="398"/>
      <c r="O122" s="398">
        <f t="shared" si="10"/>
        <v>1000</v>
      </c>
    </row>
    <row r="123" spans="1:15" ht="15" customHeight="1">
      <c r="A123" s="308"/>
      <c r="B123" s="309"/>
      <c r="C123" s="284" t="s">
        <v>347</v>
      </c>
      <c r="D123" s="595" t="s">
        <v>348</v>
      </c>
      <c r="E123" s="453"/>
      <c r="F123" s="366"/>
      <c r="G123" s="761">
        <v>1000</v>
      </c>
      <c r="H123" s="761"/>
      <c r="I123" s="761">
        <v>1000</v>
      </c>
      <c r="J123" s="697"/>
      <c r="K123" s="697"/>
      <c r="L123" s="697"/>
      <c r="M123" s="398">
        <f t="shared" si="9"/>
        <v>1000</v>
      </c>
      <c r="N123" s="398"/>
      <c r="O123" s="398">
        <f t="shared" si="10"/>
        <v>1000</v>
      </c>
    </row>
    <row r="124" spans="1:15" ht="15" customHeight="1">
      <c r="A124" s="308"/>
      <c r="B124" s="309"/>
      <c r="C124" s="282" t="s">
        <v>173</v>
      </c>
      <c r="D124" s="339" t="s">
        <v>174</v>
      </c>
      <c r="E124" s="453"/>
      <c r="F124" s="366"/>
      <c r="G124" s="761">
        <v>0</v>
      </c>
      <c r="H124" s="761"/>
      <c r="I124" s="761">
        <v>0</v>
      </c>
      <c r="J124" s="697"/>
      <c r="K124" s="697"/>
      <c r="L124" s="697"/>
      <c r="M124" s="398">
        <f t="shared" si="9"/>
        <v>0</v>
      </c>
      <c r="N124" s="398"/>
      <c r="O124" s="398">
        <f t="shared" si="10"/>
        <v>0</v>
      </c>
    </row>
    <row r="125" spans="1:15" ht="24.75" customHeight="1">
      <c r="A125" s="308"/>
      <c r="B125" s="309"/>
      <c r="C125" s="287" t="s">
        <v>175</v>
      </c>
      <c r="D125" s="591" t="s">
        <v>349</v>
      </c>
      <c r="E125" s="453"/>
      <c r="F125" s="366"/>
      <c r="G125" s="761">
        <v>6000</v>
      </c>
      <c r="H125" s="761"/>
      <c r="I125" s="761">
        <v>6000</v>
      </c>
      <c r="J125" s="697"/>
      <c r="K125" s="697"/>
      <c r="L125" s="697"/>
      <c r="M125" s="398">
        <f t="shared" si="9"/>
        <v>6000</v>
      </c>
      <c r="N125" s="398"/>
      <c r="O125" s="398">
        <f t="shared" si="10"/>
        <v>6000</v>
      </c>
    </row>
    <row r="126" spans="1:15" ht="15" customHeight="1">
      <c r="A126" s="308"/>
      <c r="B126" s="309"/>
      <c r="C126" s="287" t="s">
        <v>176</v>
      </c>
      <c r="D126" s="493" t="s">
        <v>350</v>
      </c>
      <c r="E126" s="453"/>
      <c r="F126" s="366"/>
      <c r="G126" s="761">
        <v>6500</v>
      </c>
      <c r="H126" s="761"/>
      <c r="I126" s="761">
        <v>6500</v>
      </c>
      <c r="J126" s="697"/>
      <c r="K126" s="697"/>
      <c r="L126" s="697"/>
      <c r="M126" s="398">
        <f t="shared" si="9"/>
        <v>6500</v>
      </c>
      <c r="N126" s="398"/>
      <c r="O126" s="398">
        <f t="shared" si="10"/>
        <v>6500</v>
      </c>
    </row>
    <row r="127" spans="1:15" ht="24.75" customHeight="1">
      <c r="A127" s="308"/>
      <c r="B127" s="309"/>
      <c r="C127" s="287" t="s">
        <v>177</v>
      </c>
      <c r="D127" s="582" t="s">
        <v>573</v>
      </c>
      <c r="E127" s="453"/>
      <c r="F127" s="693" t="s">
        <v>1171</v>
      </c>
      <c r="G127" s="398">
        <v>3000</v>
      </c>
      <c r="H127" s="398"/>
      <c r="I127" s="398">
        <v>3000</v>
      </c>
      <c r="J127" s="513">
        <v>-100</v>
      </c>
      <c r="K127" s="513"/>
      <c r="L127" s="513">
        <v>-100</v>
      </c>
      <c r="M127" s="398">
        <f t="shared" si="9"/>
        <v>2900</v>
      </c>
      <c r="N127" s="398"/>
      <c r="O127" s="398">
        <f t="shared" si="10"/>
        <v>2900</v>
      </c>
    </row>
    <row r="128" spans="1:15" ht="15" customHeight="1">
      <c r="A128" s="308"/>
      <c r="B128" s="309"/>
      <c r="C128" s="287" t="s">
        <v>178</v>
      </c>
      <c r="D128" s="596" t="s">
        <v>654</v>
      </c>
      <c r="E128" s="453"/>
      <c r="F128" s="693"/>
      <c r="G128" s="761">
        <v>5450</v>
      </c>
      <c r="H128" s="761"/>
      <c r="I128" s="761">
        <v>5450</v>
      </c>
      <c r="J128" s="697"/>
      <c r="K128" s="697"/>
      <c r="L128" s="697"/>
      <c r="M128" s="398">
        <f t="shared" si="9"/>
        <v>5450</v>
      </c>
      <c r="N128" s="398"/>
      <c r="O128" s="398">
        <f t="shared" si="10"/>
        <v>5450</v>
      </c>
    </row>
    <row r="129" spans="1:15" ht="15" customHeight="1">
      <c r="A129" s="308"/>
      <c r="B129" s="309"/>
      <c r="C129" s="287" t="s">
        <v>351</v>
      </c>
      <c r="D129" s="596" t="s">
        <v>352</v>
      </c>
      <c r="E129" s="453"/>
      <c r="F129" s="693" t="s">
        <v>1171</v>
      </c>
      <c r="G129" s="761">
        <v>1000</v>
      </c>
      <c r="H129" s="761"/>
      <c r="I129" s="761">
        <v>1000</v>
      </c>
      <c r="J129" s="513">
        <v>-1000</v>
      </c>
      <c r="K129" s="513"/>
      <c r="L129" s="513">
        <v>-1000</v>
      </c>
      <c r="M129" s="398">
        <f t="shared" si="9"/>
        <v>0</v>
      </c>
      <c r="N129" s="398"/>
      <c r="O129" s="398">
        <f t="shared" si="10"/>
        <v>0</v>
      </c>
    </row>
    <row r="130" spans="1:15" ht="15" customHeight="1">
      <c r="A130" s="308"/>
      <c r="B130" s="309"/>
      <c r="C130" s="287" t="s">
        <v>353</v>
      </c>
      <c r="D130" s="596" t="s">
        <v>354</v>
      </c>
      <c r="E130" s="453"/>
      <c r="F130" s="366"/>
      <c r="G130" s="761">
        <v>200</v>
      </c>
      <c r="H130" s="761"/>
      <c r="I130" s="761">
        <v>200</v>
      </c>
      <c r="J130" s="513"/>
      <c r="K130" s="513"/>
      <c r="L130" s="513"/>
      <c r="M130" s="398">
        <f t="shared" si="9"/>
        <v>200</v>
      </c>
      <c r="N130" s="398"/>
      <c r="O130" s="398">
        <f t="shared" si="10"/>
        <v>200</v>
      </c>
    </row>
    <row r="131" spans="1:15" ht="15" customHeight="1">
      <c r="A131" s="308"/>
      <c r="B131" s="309"/>
      <c r="C131" s="287" t="s">
        <v>355</v>
      </c>
      <c r="D131" s="596" t="s">
        <v>356</v>
      </c>
      <c r="E131" s="453"/>
      <c r="F131" s="693" t="s">
        <v>1171</v>
      </c>
      <c r="G131" s="761">
        <v>1000</v>
      </c>
      <c r="H131" s="761"/>
      <c r="I131" s="761">
        <v>1000</v>
      </c>
      <c r="J131" s="513">
        <v>-1000</v>
      </c>
      <c r="K131" s="513"/>
      <c r="L131" s="513">
        <v>-1000</v>
      </c>
      <c r="M131" s="398">
        <f t="shared" si="9"/>
        <v>0</v>
      </c>
      <c r="N131" s="398"/>
      <c r="O131" s="398">
        <f t="shared" si="10"/>
        <v>0</v>
      </c>
    </row>
    <row r="132" spans="1:15" ht="15" customHeight="1">
      <c r="A132" s="308"/>
      <c r="B132" s="309"/>
      <c r="C132" s="287" t="s">
        <v>357</v>
      </c>
      <c r="D132" s="596" t="s">
        <v>358</v>
      </c>
      <c r="E132" s="453"/>
      <c r="F132" s="693"/>
      <c r="G132" s="761">
        <v>600</v>
      </c>
      <c r="H132" s="761"/>
      <c r="I132" s="761">
        <v>600</v>
      </c>
      <c r="J132" s="513"/>
      <c r="K132" s="513"/>
      <c r="L132" s="513"/>
      <c r="M132" s="398">
        <f t="shared" si="9"/>
        <v>600</v>
      </c>
      <c r="N132" s="398"/>
      <c r="O132" s="398">
        <f t="shared" si="10"/>
        <v>600</v>
      </c>
    </row>
    <row r="133" spans="1:15" ht="15" customHeight="1">
      <c r="A133" s="308"/>
      <c r="B133" s="309"/>
      <c r="C133" s="287" t="s">
        <v>359</v>
      </c>
      <c r="D133" s="596" t="s">
        <v>360</v>
      </c>
      <c r="E133" s="453"/>
      <c r="F133" s="693"/>
      <c r="G133" s="761">
        <v>716</v>
      </c>
      <c r="H133" s="761"/>
      <c r="I133" s="761">
        <v>716</v>
      </c>
      <c r="J133" s="513"/>
      <c r="K133" s="513"/>
      <c r="L133" s="513"/>
      <c r="M133" s="398">
        <f t="shared" si="9"/>
        <v>716</v>
      </c>
      <c r="N133" s="398"/>
      <c r="O133" s="398">
        <f t="shared" si="10"/>
        <v>716</v>
      </c>
    </row>
    <row r="134" spans="1:15" ht="15" customHeight="1">
      <c r="A134" s="308"/>
      <c r="B134" s="309"/>
      <c r="C134" s="287" t="s">
        <v>361</v>
      </c>
      <c r="D134" s="596" t="s">
        <v>362</v>
      </c>
      <c r="E134" s="453"/>
      <c r="F134" s="693" t="s">
        <v>656</v>
      </c>
      <c r="G134" s="761">
        <v>2000</v>
      </c>
      <c r="H134" s="761"/>
      <c r="I134" s="761">
        <v>2000</v>
      </c>
      <c r="J134" s="513">
        <v>-2000</v>
      </c>
      <c r="K134" s="513"/>
      <c r="L134" s="513">
        <v>-2000</v>
      </c>
      <c r="M134" s="398">
        <f t="shared" si="9"/>
        <v>0</v>
      </c>
      <c r="N134" s="398"/>
      <c r="O134" s="398">
        <f t="shared" si="10"/>
        <v>0</v>
      </c>
    </row>
    <row r="135" spans="1:15" ht="24.75" customHeight="1">
      <c r="A135" s="308"/>
      <c r="B135" s="309"/>
      <c r="C135" s="287" t="s">
        <v>1206</v>
      </c>
      <c r="D135" s="587" t="s">
        <v>267</v>
      </c>
      <c r="E135" s="453"/>
      <c r="F135" s="693" t="s">
        <v>656</v>
      </c>
      <c r="G135" s="761"/>
      <c r="H135" s="761"/>
      <c r="I135" s="761"/>
      <c r="J135" s="513">
        <v>31563</v>
      </c>
      <c r="K135" s="513"/>
      <c r="L135" s="513">
        <v>31563</v>
      </c>
      <c r="M135" s="398">
        <f t="shared" si="9"/>
        <v>31563</v>
      </c>
      <c r="N135" s="398"/>
      <c r="O135" s="398">
        <f t="shared" si="10"/>
        <v>31563</v>
      </c>
    </row>
    <row r="136" spans="1:15" ht="15" customHeight="1">
      <c r="A136" s="308"/>
      <c r="B136" s="309"/>
      <c r="C136" s="287"/>
      <c r="D136" s="499" t="s">
        <v>265</v>
      </c>
      <c r="E136" s="453"/>
      <c r="F136" s="693"/>
      <c r="G136" s="761">
        <v>0</v>
      </c>
      <c r="H136" s="761"/>
      <c r="I136" s="761">
        <v>0</v>
      </c>
      <c r="J136" s="513"/>
      <c r="K136" s="513"/>
      <c r="L136" s="513"/>
      <c r="M136" s="398"/>
      <c r="N136" s="398"/>
      <c r="O136" s="398"/>
    </row>
    <row r="137" spans="1:15" ht="24.75" customHeight="1">
      <c r="A137" s="308"/>
      <c r="B137" s="309"/>
      <c r="C137" s="287" t="s">
        <v>982</v>
      </c>
      <c r="D137" s="532" t="s">
        <v>695</v>
      </c>
      <c r="E137" s="453"/>
      <c r="F137" s="693" t="s">
        <v>696</v>
      </c>
      <c r="G137" s="761">
        <v>0</v>
      </c>
      <c r="H137" s="761">
        <v>250</v>
      </c>
      <c r="I137" s="761">
        <v>250</v>
      </c>
      <c r="J137" s="513"/>
      <c r="K137" s="513">
        <v>300</v>
      </c>
      <c r="L137" s="513">
        <v>300</v>
      </c>
      <c r="M137" s="398">
        <f t="shared" si="9"/>
        <v>0</v>
      </c>
      <c r="N137" s="398">
        <f>SUM(H137+K137)</f>
        <v>550</v>
      </c>
      <c r="O137" s="398">
        <f t="shared" si="10"/>
        <v>550</v>
      </c>
    </row>
    <row r="138" spans="1:15" ht="15" customHeight="1">
      <c r="A138" s="308"/>
      <c r="B138" s="309"/>
      <c r="C138" s="287" t="s">
        <v>638</v>
      </c>
      <c r="D138" s="597" t="s">
        <v>363</v>
      </c>
      <c r="E138" s="453"/>
      <c r="F138" s="366"/>
      <c r="G138" s="761">
        <v>175</v>
      </c>
      <c r="H138" s="761"/>
      <c r="I138" s="761">
        <v>175</v>
      </c>
      <c r="J138" s="513"/>
      <c r="K138" s="513"/>
      <c r="L138" s="513"/>
      <c r="M138" s="398">
        <f t="shared" si="9"/>
        <v>175</v>
      </c>
      <c r="N138" s="398"/>
      <c r="O138" s="398">
        <f t="shared" si="10"/>
        <v>175</v>
      </c>
    </row>
    <row r="139" spans="1:15" ht="15" customHeight="1">
      <c r="A139" s="308"/>
      <c r="B139" s="309"/>
      <c r="C139" s="287" t="s">
        <v>639</v>
      </c>
      <c r="D139" s="511" t="s">
        <v>636</v>
      </c>
      <c r="E139" s="453"/>
      <c r="F139" s="366"/>
      <c r="G139" s="761">
        <v>1000</v>
      </c>
      <c r="H139" s="761"/>
      <c r="I139" s="761">
        <v>1000</v>
      </c>
      <c r="J139" s="513"/>
      <c r="K139" s="513"/>
      <c r="L139" s="513"/>
      <c r="M139" s="398">
        <f t="shared" si="9"/>
        <v>1000</v>
      </c>
      <c r="N139" s="398"/>
      <c r="O139" s="398">
        <f t="shared" si="10"/>
        <v>1000</v>
      </c>
    </row>
    <row r="140" spans="1:15" ht="13.5">
      <c r="A140" s="196"/>
      <c r="B140" s="196"/>
      <c r="C140" s="197"/>
      <c r="D140" s="354" t="s">
        <v>82</v>
      </c>
      <c r="E140" s="365"/>
      <c r="F140" s="365"/>
      <c r="G140" s="206">
        <f>SUM(G47:G139)</f>
        <v>205740</v>
      </c>
      <c r="H140" s="206">
        <f aca="true" t="shared" si="11" ref="H140:O140">SUM(H47:H139)</f>
        <v>437</v>
      </c>
      <c r="I140" s="206">
        <f t="shared" si="11"/>
        <v>206177</v>
      </c>
      <c r="J140" s="620">
        <f t="shared" si="11"/>
        <v>17817</v>
      </c>
      <c r="K140" s="620">
        <f t="shared" si="11"/>
        <v>329</v>
      </c>
      <c r="L140" s="620">
        <f t="shared" si="11"/>
        <v>18146</v>
      </c>
      <c r="M140" s="620">
        <f t="shared" si="11"/>
        <v>223557</v>
      </c>
      <c r="N140" s="620">
        <f t="shared" si="11"/>
        <v>766</v>
      </c>
      <c r="O140" s="620">
        <f t="shared" si="11"/>
        <v>224323</v>
      </c>
    </row>
    <row r="141" spans="1:15" ht="13.5" customHeight="1">
      <c r="A141" s="237">
        <v>1</v>
      </c>
      <c r="B141" s="237">
        <v>16</v>
      </c>
      <c r="C141" s="236"/>
      <c r="D141" s="356" t="s">
        <v>498</v>
      </c>
      <c r="E141" s="476"/>
      <c r="F141" s="367"/>
      <c r="G141" s="761"/>
      <c r="H141" s="761"/>
      <c r="I141" s="761"/>
      <c r="J141" s="401"/>
      <c r="K141" s="401"/>
      <c r="L141" s="401"/>
      <c r="M141" s="398"/>
      <c r="N141" s="398"/>
      <c r="O141" s="398"/>
    </row>
    <row r="142" spans="1:15" ht="13.5" customHeight="1">
      <c r="A142" s="211"/>
      <c r="B142" s="212"/>
      <c r="C142" s="283">
        <v>1</v>
      </c>
      <c r="D142" s="332" t="s">
        <v>255</v>
      </c>
      <c r="E142" s="453"/>
      <c r="F142" s="399"/>
      <c r="G142" s="761">
        <v>0</v>
      </c>
      <c r="H142" s="761"/>
      <c r="I142" s="761">
        <v>0</v>
      </c>
      <c r="J142" s="399"/>
      <c r="K142" s="399"/>
      <c r="L142" s="399"/>
      <c r="M142" s="398">
        <f aca="true" t="shared" si="12" ref="M142:M153">SUM(G142+J142)</f>
        <v>0</v>
      </c>
      <c r="N142" s="398"/>
      <c r="O142" s="398">
        <f aca="true" t="shared" si="13" ref="O142:O166">SUM(I142+L142)</f>
        <v>0</v>
      </c>
    </row>
    <row r="143" spans="1:15" ht="15" customHeight="1">
      <c r="A143" s="214"/>
      <c r="B143" s="214"/>
      <c r="C143" s="284" t="s">
        <v>117</v>
      </c>
      <c r="D143" s="500" t="s">
        <v>364</v>
      </c>
      <c r="E143" s="455"/>
      <c r="F143" s="400"/>
      <c r="G143" s="761">
        <v>6000</v>
      </c>
      <c r="H143" s="761">
        <v>0</v>
      </c>
      <c r="I143" s="761">
        <v>6000</v>
      </c>
      <c r="J143" s="400"/>
      <c r="K143" s="400"/>
      <c r="L143" s="400"/>
      <c r="M143" s="398">
        <f t="shared" si="12"/>
        <v>6000</v>
      </c>
      <c r="N143" s="398">
        <f aca="true" t="shared" si="14" ref="N143:N150">SUM(H143+K143)</f>
        <v>0</v>
      </c>
      <c r="O143" s="398">
        <f t="shared" si="13"/>
        <v>6000</v>
      </c>
    </row>
    <row r="144" spans="1:15" ht="24" customHeight="1">
      <c r="A144" s="215"/>
      <c r="B144" s="215"/>
      <c r="C144" s="284" t="s">
        <v>118</v>
      </c>
      <c r="D144" s="500" t="s">
        <v>577</v>
      </c>
      <c r="E144" s="455"/>
      <c r="F144" s="400" t="s">
        <v>1171</v>
      </c>
      <c r="G144" s="761">
        <v>29322</v>
      </c>
      <c r="H144" s="761">
        <v>0</v>
      </c>
      <c r="I144" s="761">
        <v>29322</v>
      </c>
      <c r="J144" s="399">
        <v>-1000</v>
      </c>
      <c r="K144" s="399"/>
      <c r="L144" s="399">
        <v>-1000</v>
      </c>
      <c r="M144" s="398">
        <f t="shared" si="12"/>
        <v>28322</v>
      </c>
      <c r="N144" s="398">
        <f t="shared" si="14"/>
        <v>0</v>
      </c>
      <c r="O144" s="398">
        <f t="shared" si="13"/>
        <v>28322</v>
      </c>
    </row>
    <row r="145" spans="1:15" ht="37.5" customHeight="1">
      <c r="A145" s="215"/>
      <c r="B145" s="215"/>
      <c r="C145" s="284" t="s">
        <v>119</v>
      </c>
      <c r="D145" s="598" t="s">
        <v>365</v>
      </c>
      <c r="E145" s="455"/>
      <c r="F145" s="400"/>
      <c r="G145" s="761">
        <v>10000</v>
      </c>
      <c r="H145" s="761">
        <v>0</v>
      </c>
      <c r="I145" s="761">
        <v>10000</v>
      </c>
      <c r="J145" s="400"/>
      <c r="K145" s="400"/>
      <c r="L145" s="400"/>
      <c r="M145" s="398">
        <f t="shared" si="12"/>
        <v>10000</v>
      </c>
      <c r="N145" s="398">
        <f t="shared" si="14"/>
        <v>0</v>
      </c>
      <c r="O145" s="398">
        <f t="shared" si="13"/>
        <v>10000</v>
      </c>
    </row>
    <row r="146" spans="1:15" ht="15" customHeight="1">
      <c r="A146" s="215"/>
      <c r="B146" s="215"/>
      <c r="C146" s="284" t="s">
        <v>97</v>
      </c>
      <c r="D146" s="599" t="s">
        <v>366</v>
      </c>
      <c r="E146" s="455"/>
      <c r="F146" s="401"/>
      <c r="G146" s="761">
        <v>1000</v>
      </c>
      <c r="H146" s="761">
        <v>0</v>
      </c>
      <c r="I146" s="761">
        <v>1000</v>
      </c>
      <c r="J146" s="400"/>
      <c r="K146" s="400"/>
      <c r="L146" s="400"/>
      <c r="M146" s="398">
        <f t="shared" si="12"/>
        <v>1000</v>
      </c>
      <c r="N146" s="398">
        <f t="shared" si="14"/>
        <v>0</v>
      </c>
      <c r="O146" s="398">
        <f t="shared" si="13"/>
        <v>1000</v>
      </c>
    </row>
    <row r="147" spans="1:15" ht="15" customHeight="1">
      <c r="A147" s="215"/>
      <c r="B147" s="215"/>
      <c r="C147" s="284" t="s">
        <v>98</v>
      </c>
      <c r="D147" s="599" t="s">
        <v>367</v>
      </c>
      <c r="E147" s="455"/>
      <c r="F147" s="401"/>
      <c r="G147" s="761">
        <v>8000</v>
      </c>
      <c r="H147" s="761">
        <v>0</v>
      </c>
      <c r="I147" s="761">
        <v>8000</v>
      </c>
      <c r="J147" s="400"/>
      <c r="K147" s="400"/>
      <c r="L147" s="400"/>
      <c r="M147" s="398">
        <f t="shared" si="12"/>
        <v>8000</v>
      </c>
      <c r="N147" s="398">
        <f t="shared" si="14"/>
        <v>0</v>
      </c>
      <c r="O147" s="398">
        <f t="shared" si="13"/>
        <v>8000</v>
      </c>
    </row>
    <row r="148" spans="1:15" ht="15" customHeight="1">
      <c r="A148" s="211"/>
      <c r="B148" s="212"/>
      <c r="C148" s="284" t="s">
        <v>99</v>
      </c>
      <c r="D148" s="599" t="s">
        <v>368</v>
      </c>
      <c r="E148" s="455"/>
      <c r="F148" s="335"/>
      <c r="G148" s="761">
        <v>3000</v>
      </c>
      <c r="H148" s="761">
        <v>0</v>
      </c>
      <c r="I148" s="761">
        <v>3000</v>
      </c>
      <c r="J148" s="399"/>
      <c r="K148" s="399"/>
      <c r="L148" s="399"/>
      <c r="M148" s="398">
        <f t="shared" si="12"/>
        <v>3000</v>
      </c>
      <c r="N148" s="398">
        <f t="shared" si="14"/>
        <v>0</v>
      </c>
      <c r="O148" s="398">
        <f t="shared" si="13"/>
        <v>3000</v>
      </c>
    </row>
    <row r="149" spans="1:15" ht="24.75" customHeight="1">
      <c r="A149" s="211"/>
      <c r="B149" s="212"/>
      <c r="C149" s="284" t="s">
        <v>1004</v>
      </c>
      <c r="D149" s="599" t="s">
        <v>369</v>
      </c>
      <c r="E149" s="455"/>
      <c r="F149" s="335"/>
      <c r="G149" s="761">
        <v>2000</v>
      </c>
      <c r="H149" s="761"/>
      <c r="I149" s="761">
        <v>2000</v>
      </c>
      <c r="J149" s="399"/>
      <c r="K149" s="399"/>
      <c r="L149" s="399"/>
      <c r="M149" s="398">
        <f t="shared" si="12"/>
        <v>2000</v>
      </c>
      <c r="N149" s="398"/>
      <c r="O149" s="398">
        <f t="shared" si="13"/>
        <v>2000</v>
      </c>
    </row>
    <row r="150" spans="1:15" ht="15" customHeight="1">
      <c r="A150" s="215"/>
      <c r="B150" s="215"/>
      <c r="C150" s="284" t="s">
        <v>561</v>
      </c>
      <c r="D150" s="600" t="s">
        <v>370</v>
      </c>
      <c r="E150" s="455"/>
      <c r="F150" s="335"/>
      <c r="G150" s="761">
        <v>20000</v>
      </c>
      <c r="H150" s="761">
        <v>0</v>
      </c>
      <c r="I150" s="761">
        <v>20000</v>
      </c>
      <c r="J150" s="400"/>
      <c r="K150" s="400"/>
      <c r="L150" s="400"/>
      <c r="M150" s="398">
        <f t="shared" si="12"/>
        <v>20000</v>
      </c>
      <c r="N150" s="398">
        <f t="shared" si="14"/>
        <v>0</v>
      </c>
      <c r="O150" s="398">
        <f t="shared" si="13"/>
        <v>20000</v>
      </c>
    </row>
    <row r="151" spans="1:15" ht="15" customHeight="1">
      <c r="A151" s="216"/>
      <c r="B151" s="216"/>
      <c r="C151" s="284" t="s">
        <v>562</v>
      </c>
      <c r="D151" s="600" t="s">
        <v>371</v>
      </c>
      <c r="E151" s="455"/>
      <c r="F151" s="398" t="s">
        <v>1171</v>
      </c>
      <c r="G151" s="761">
        <v>5980</v>
      </c>
      <c r="H151" s="761"/>
      <c r="I151" s="761">
        <v>5980</v>
      </c>
      <c r="J151" s="401">
        <v>-1500</v>
      </c>
      <c r="K151" s="401"/>
      <c r="L151" s="401">
        <v>-1500</v>
      </c>
      <c r="M151" s="398">
        <f t="shared" si="12"/>
        <v>4480</v>
      </c>
      <c r="N151" s="398"/>
      <c r="O151" s="398">
        <f t="shared" si="13"/>
        <v>4480</v>
      </c>
    </row>
    <row r="152" spans="1:15" ht="15" customHeight="1">
      <c r="A152" s="216"/>
      <c r="B152" s="216"/>
      <c r="C152" s="284" t="s">
        <v>643</v>
      </c>
      <c r="D152" s="601" t="s">
        <v>372</v>
      </c>
      <c r="E152" s="455"/>
      <c r="F152" s="398"/>
      <c r="G152" s="761">
        <v>3000</v>
      </c>
      <c r="H152" s="761"/>
      <c r="I152" s="761">
        <v>3000</v>
      </c>
      <c r="J152" s="401"/>
      <c r="K152" s="401"/>
      <c r="L152" s="401"/>
      <c r="M152" s="398">
        <f t="shared" si="12"/>
        <v>3000</v>
      </c>
      <c r="N152" s="398"/>
      <c r="O152" s="398">
        <f t="shared" si="13"/>
        <v>3000</v>
      </c>
    </row>
    <row r="153" spans="1:15" ht="24.75" customHeight="1">
      <c r="A153" s="216"/>
      <c r="B153" s="216"/>
      <c r="C153" s="284" t="s">
        <v>579</v>
      </c>
      <c r="D153" s="602" t="s">
        <v>373</v>
      </c>
      <c r="E153" s="455"/>
      <c r="F153" s="403"/>
      <c r="G153" s="761">
        <v>10000</v>
      </c>
      <c r="H153" s="761"/>
      <c r="I153" s="761">
        <v>10000</v>
      </c>
      <c r="J153" s="401"/>
      <c r="K153" s="401"/>
      <c r="L153" s="401"/>
      <c r="M153" s="398">
        <f t="shared" si="12"/>
        <v>10000</v>
      </c>
      <c r="N153" s="398"/>
      <c r="O153" s="398">
        <f t="shared" si="13"/>
        <v>10000</v>
      </c>
    </row>
    <row r="154" spans="1:15" ht="24.75" customHeight="1">
      <c r="A154" s="194"/>
      <c r="B154" s="194"/>
      <c r="C154" s="284" t="s">
        <v>580</v>
      </c>
      <c r="D154" s="600" t="s">
        <v>374</v>
      </c>
      <c r="E154" s="455"/>
      <c r="F154" s="402"/>
      <c r="G154" s="761">
        <v>35000</v>
      </c>
      <c r="H154" s="761"/>
      <c r="I154" s="761">
        <v>35000</v>
      </c>
      <c r="J154" s="398"/>
      <c r="K154" s="398"/>
      <c r="L154" s="398"/>
      <c r="M154" s="398">
        <f aca="true" t="shared" si="15" ref="M154:M226">SUM(G154+J154)</f>
        <v>35000</v>
      </c>
      <c r="N154" s="398"/>
      <c r="O154" s="398">
        <f t="shared" si="13"/>
        <v>35000</v>
      </c>
    </row>
    <row r="155" spans="1:15" ht="15" customHeight="1">
      <c r="A155" s="194"/>
      <c r="B155" s="194"/>
      <c r="C155" s="284" t="s">
        <v>582</v>
      </c>
      <c r="D155" s="603" t="s">
        <v>375</v>
      </c>
      <c r="E155" s="455"/>
      <c r="F155" s="402"/>
      <c r="G155" s="761">
        <v>2000</v>
      </c>
      <c r="H155" s="761"/>
      <c r="I155" s="761">
        <v>2000</v>
      </c>
      <c r="J155" s="398"/>
      <c r="K155" s="398"/>
      <c r="L155" s="398"/>
      <c r="M155" s="398">
        <f t="shared" si="15"/>
        <v>2000</v>
      </c>
      <c r="N155" s="398"/>
      <c r="O155" s="398">
        <f t="shared" si="13"/>
        <v>2000</v>
      </c>
    </row>
    <row r="156" spans="1:15" ht="15" customHeight="1">
      <c r="A156" s="194"/>
      <c r="B156" s="194"/>
      <c r="C156" s="284" t="s">
        <v>583</v>
      </c>
      <c r="D156" s="604" t="s">
        <v>586</v>
      </c>
      <c r="E156" s="455"/>
      <c r="F156" s="403"/>
      <c r="G156" s="761">
        <v>5525</v>
      </c>
      <c r="H156" s="761"/>
      <c r="I156" s="761">
        <v>5525</v>
      </c>
      <c r="J156" s="398"/>
      <c r="K156" s="398"/>
      <c r="L156" s="398"/>
      <c r="M156" s="398">
        <f t="shared" si="15"/>
        <v>5525</v>
      </c>
      <c r="N156" s="398"/>
      <c r="O156" s="398">
        <f t="shared" si="13"/>
        <v>5525</v>
      </c>
    </row>
    <row r="157" spans="1:15" ht="15" customHeight="1">
      <c r="A157" s="194"/>
      <c r="B157" s="194"/>
      <c r="C157" s="284" t="s">
        <v>160</v>
      </c>
      <c r="D157" s="587" t="s">
        <v>291</v>
      </c>
      <c r="E157" s="453"/>
      <c r="F157" s="693"/>
      <c r="G157" s="761">
        <v>1500</v>
      </c>
      <c r="H157" s="761"/>
      <c r="I157" s="761">
        <v>1500</v>
      </c>
      <c r="J157" s="697"/>
      <c r="K157" s="697"/>
      <c r="L157" s="697"/>
      <c r="M157" s="398">
        <f>SUM(G157+J157)</f>
        <v>1500</v>
      </c>
      <c r="N157" s="398"/>
      <c r="O157" s="398">
        <f t="shared" si="13"/>
        <v>1500</v>
      </c>
    </row>
    <row r="158" spans="1:15" ht="15" customHeight="1">
      <c r="A158" s="194"/>
      <c r="B158" s="194"/>
      <c r="C158" s="284"/>
      <c r="D158" s="499" t="s">
        <v>265</v>
      </c>
      <c r="E158" s="455"/>
      <c r="F158" s="402"/>
      <c r="G158" s="761">
        <v>0</v>
      </c>
      <c r="H158" s="761"/>
      <c r="I158" s="761">
        <v>0</v>
      </c>
      <c r="J158" s="398"/>
      <c r="K158" s="398"/>
      <c r="L158" s="398"/>
      <c r="M158" s="398">
        <f t="shared" si="15"/>
        <v>0</v>
      </c>
      <c r="N158" s="398"/>
      <c r="O158" s="398">
        <f t="shared" si="13"/>
        <v>0</v>
      </c>
    </row>
    <row r="159" spans="1:15" ht="24.75" customHeight="1">
      <c r="A159" s="194"/>
      <c r="B159" s="194"/>
      <c r="C159" s="284" t="s">
        <v>677</v>
      </c>
      <c r="D159" s="502" t="s">
        <v>584</v>
      </c>
      <c r="E159" s="335" t="s">
        <v>477</v>
      </c>
      <c r="F159" s="403"/>
      <c r="G159" s="761">
        <v>0</v>
      </c>
      <c r="H159" s="761"/>
      <c r="I159" s="761">
        <v>0</v>
      </c>
      <c r="J159" s="398"/>
      <c r="K159" s="398"/>
      <c r="L159" s="398"/>
      <c r="M159" s="398">
        <f t="shared" si="15"/>
        <v>0</v>
      </c>
      <c r="N159" s="398"/>
      <c r="O159" s="398">
        <f t="shared" si="13"/>
        <v>0</v>
      </c>
    </row>
    <row r="160" spans="1:15" ht="15" customHeight="1">
      <c r="A160" s="194"/>
      <c r="B160" s="194"/>
      <c r="C160" s="284" t="s">
        <v>941</v>
      </c>
      <c r="D160" s="500" t="s">
        <v>585</v>
      </c>
      <c r="E160" s="455"/>
      <c r="F160" s="403"/>
      <c r="G160" s="761">
        <v>6720</v>
      </c>
      <c r="H160" s="761"/>
      <c r="I160" s="761">
        <v>6720</v>
      </c>
      <c r="J160" s="398"/>
      <c r="K160" s="398"/>
      <c r="L160" s="398"/>
      <c r="M160" s="398">
        <f t="shared" si="15"/>
        <v>6720</v>
      </c>
      <c r="N160" s="398"/>
      <c r="O160" s="398">
        <f t="shared" si="13"/>
        <v>6720</v>
      </c>
    </row>
    <row r="161" spans="1:15" ht="15" customHeight="1">
      <c r="A161" s="194"/>
      <c r="B161" s="194"/>
      <c r="C161" s="284" t="s">
        <v>942</v>
      </c>
      <c r="D161" s="691" t="s">
        <v>159</v>
      </c>
      <c r="E161" s="455"/>
      <c r="F161" s="403"/>
      <c r="G161" s="761">
        <v>195</v>
      </c>
      <c r="H161" s="761"/>
      <c r="I161" s="761">
        <v>195</v>
      </c>
      <c r="J161" s="398"/>
      <c r="K161" s="398"/>
      <c r="L161" s="398"/>
      <c r="M161" s="398">
        <f t="shared" si="15"/>
        <v>195</v>
      </c>
      <c r="N161" s="398"/>
      <c r="O161" s="398">
        <f t="shared" si="13"/>
        <v>195</v>
      </c>
    </row>
    <row r="162" spans="1:15" ht="15" customHeight="1">
      <c r="A162" s="194"/>
      <c r="B162" s="194"/>
      <c r="C162" s="281" t="s">
        <v>120</v>
      </c>
      <c r="D162" s="336" t="s">
        <v>293</v>
      </c>
      <c r="E162" s="456"/>
      <c r="F162" s="403"/>
      <c r="G162" s="761">
        <v>0</v>
      </c>
      <c r="H162" s="761"/>
      <c r="I162" s="761">
        <v>0</v>
      </c>
      <c r="J162" s="398"/>
      <c r="K162" s="398"/>
      <c r="L162" s="398"/>
      <c r="M162" s="398">
        <f t="shared" si="15"/>
        <v>0</v>
      </c>
      <c r="N162" s="398"/>
      <c r="O162" s="398">
        <f t="shared" si="13"/>
        <v>0</v>
      </c>
    </row>
    <row r="163" spans="1:15" ht="15" customHeight="1">
      <c r="A163" s="194"/>
      <c r="B163" s="194"/>
      <c r="C163" s="286" t="s">
        <v>121</v>
      </c>
      <c r="D163" s="599" t="s">
        <v>376</v>
      </c>
      <c r="E163" s="456"/>
      <c r="F163" s="335"/>
      <c r="G163" s="761">
        <v>13987</v>
      </c>
      <c r="H163" s="761"/>
      <c r="I163" s="761">
        <v>13987</v>
      </c>
      <c r="J163" s="398"/>
      <c r="K163" s="398"/>
      <c r="L163" s="398"/>
      <c r="M163" s="398">
        <f t="shared" si="15"/>
        <v>13987</v>
      </c>
      <c r="N163" s="398"/>
      <c r="O163" s="398">
        <f t="shared" si="13"/>
        <v>13987</v>
      </c>
    </row>
    <row r="164" spans="1:15" ht="15" customHeight="1">
      <c r="A164" s="194"/>
      <c r="B164" s="194"/>
      <c r="C164" s="286" t="s">
        <v>564</v>
      </c>
      <c r="D164" s="599" t="s">
        <v>377</v>
      </c>
      <c r="E164" s="456"/>
      <c r="F164" s="335"/>
      <c r="G164" s="761">
        <v>0</v>
      </c>
      <c r="H164" s="761"/>
      <c r="I164" s="761">
        <v>0</v>
      </c>
      <c r="J164" s="398"/>
      <c r="K164" s="398"/>
      <c r="L164" s="398"/>
      <c r="M164" s="398">
        <f t="shared" si="15"/>
        <v>0</v>
      </c>
      <c r="N164" s="398"/>
      <c r="O164" s="398">
        <f t="shared" si="13"/>
        <v>0</v>
      </c>
    </row>
    <row r="165" spans="1:15" ht="15" customHeight="1">
      <c r="A165" s="194"/>
      <c r="B165" s="194"/>
      <c r="C165" s="286" t="s">
        <v>378</v>
      </c>
      <c r="D165" s="599" t="s">
        <v>379</v>
      </c>
      <c r="E165" s="456"/>
      <c r="F165" s="335"/>
      <c r="G165" s="761">
        <v>1500</v>
      </c>
      <c r="H165" s="761"/>
      <c r="I165" s="761">
        <v>1500</v>
      </c>
      <c r="J165" s="398"/>
      <c r="K165" s="398"/>
      <c r="L165" s="398"/>
      <c r="M165" s="398">
        <f t="shared" si="15"/>
        <v>1500</v>
      </c>
      <c r="N165" s="398"/>
      <c r="O165" s="398">
        <f t="shared" si="13"/>
        <v>1500</v>
      </c>
    </row>
    <row r="166" spans="1:15" ht="15" customHeight="1">
      <c r="A166" s="194"/>
      <c r="B166" s="194"/>
      <c r="C166" s="286" t="s">
        <v>380</v>
      </c>
      <c r="D166" s="602" t="s">
        <v>565</v>
      </c>
      <c r="E166" s="456"/>
      <c r="F166" s="335" t="s">
        <v>1171</v>
      </c>
      <c r="G166" s="761">
        <v>2000</v>
      </c>
      <c r="H166" s="761"/>
      <c r="I166" s="761">
        <v>2000</v>
      </c>
      <c r="J166" s="398">
        <v>-2000</v>
      </c>
      <c r="K166" s="398"/>
      <c r="L166" s="398">
        <v>-2000</v>
      </c>
      <c r="M166" s="398">
        <f t="shared" si="15"/>
        <v>0</v>
      </c>
      <c r="N166" s="398"/>
      <c r="O166" s="398">
        <f t="shared" si="13"/>
        <v>0</v>
      </c>
    </row>
    <row r="167" spans="1:15" ht="15" customHeight="1">
      <c r="A167" s="194"/>
      <c r="B167" s="194"/>
      <c r="C167" s="286"/>
      <c r="D167" s="499" t="s">
        <v>265</v>
      </c>
      <c r="E167" s="456"/>
      <c r="F167" s="335"/>
      <c r="G167" s="761"/>
      <c r="H167" s="761"/>
      <c r="I167" s="761"/>
      <c r="J167" s="398"/>
      <c r="K167" s="398"/>
      <c r="L167" s="398"/>
      <c r="M167" s="398"/>
      <c r="N167" s="398"/>
      <c r="O167" s="398"/>
    </row>
    <row r="168" spans="1:15" ht="24.75" customHeight="1">
      <c r="A168" s="194"/>
      <c r="B168" s="194"/>
      <c r="C168" s="284" t="s">
        <v>951</v>
      </c>
      <c r="D168" s="454" t="s">
        <v>657</v>
      </c>
      <c r="E168" s="453"/>
      <c r="F168" s="693"/>
      <c r="G168" s="761">
        <v>0</v>
      </c>
      <c r="H168" s="761">
        <v>19063</v>
      </c>
      <c r="I168" s="761">
        <v>19063</v>
      </c>
      <c r="J168" s="697"/>
      <c r="K168" s="697"/>
      <c r="L168" s="697"/>
      <c r="M168" s="398">
        <f>SUM(G168+J168)</f>
        <v>0</v>
      </c>
      <c r="N168" s="398">
        <f>SUM(H168+K168)</f>
        <v>19063</v>
      </c>
      <c r="O168" s="398">
        <f>SUM(I168+L168)</f>
        <v>19063</v>
      </c>
    </row>
    <row r="169" spans="1:15" ht="15" customHeight="1">
      <c r="A169" s="194"/>
      <c r="B169" s="194"/>
      <c r="C169" s="282" t="s">
        <v>124</v>
      </c>
      <c r="D169" s="339" t="s">
        <v>129</v>
      </c>
      <c r="E169" s="340"/>
      <c r="F169" s="335"/>
      <c r="G169" s="761">
        <v>0</v>
      </c>
      <c r="H169" s="761"/>
      <c r="I169" s="761">
        <v>0</v>
      </c>
      <c r="J169" s="398"/>
      <c r="K169" s="398"/>
      <c r="L169" s="398"/>
      <c r="M169" s="398">
        <f t="shared" si="15"/>
        <v>0</v>
      </c>
      <c r="N169" s="398"/>
      <c r="O169" s="398">
        <f aca="true" t="shared" si="16" ref="O169:O202">SUM(I169+L169)</f>
        <v>0</v>
      </c>
    </row>
    <row r="170" spans="1:15" ht="15" customHeight="1">
      <c r="A170" s="194"/>
      <c r="B170" s="194"/>
      <c r="C170" s="287" t="s">
        <v>132</v>
      </c>
      <c r="D170" s="600" t="s">
        <v>381</v>
      </c>
      <c r="E170" s="340"/>
      <c r="F170" s="340"/>
      <c r="G170" s="761">
        <v>5000</v>
      </c>
      <c r="H170" s="761"/>
      <c r="I170" s="761">
        <v>5000</v>
      </c>
      <c r="J170" s="398"/>
      <c r="K170" s="398"/>
      <c r="L170" s="398"/>
      <c r="M170" s="398">
        <f t="shared" si="15"/>
        <v>5000</v>
      </c>
      <c r="N170" s="398"/>
      <c r="O170" s="398">
        <f t="shared" si="16"/>
        <v>5000</v>
      </c>
    </row>
    <row r="171" spans="1:15" ht="24.75" customHeight="1">
      <c r="A171" s="194"/>
      <c r="B171" s="194"/>
      <c r="C171" s="287" t="s">
        <v>133</v>
      </c>
      <c r="D171" s="600" t="s">
        <v>382</v>
      </c>
      <c r="E171" s="340"/>
      <c r="F171" s="402"/>
      <c r="G171" s="761">
        <v>15000</v>
      </c>
      <c r="H171" s="761"/>
      <c r="I171" s="761">
        <v>15000</v>
      </c>
      <c r="J171" s="398"/>
      <c r="K171" s="398"/>
      <c r="L171" s="398"/>
      <c r="M171" s="398">
        <f t="shared" si="15"/>
        <v>15000</v>
      </c>
      <c r="N171" s="398"/>
      <c r="O171" s="398">
        <f t="shared" si="16"/>
        <v>15000</v>
      </c>
    </row>
    <row r="172" spans="1:15" ht="15" customHeight="1">
      <c r="A172" s="194"/>
      <c r="B172" s="194"/>
      <c r="C172" s="287" t="s">
        <v>134</v>
      </c>
      <c r="D172" s="600" t="s">
        <v>384</v>
      </c>
      <c r="E172" s="340"/>
      <c r="F172" s="403" t="s">
        <v>1171</v>
      </c>
      <c r="G172" s="761">
        <v>3000</v>
      </c>
      <c r="H172" s="761"/>
      <c r="I172" s="761">
        <v>3000</v>
      </c>
      <c r="J172" s="398">
        <v>-2000</v>
      </c>
      <c r="K172" s="398"/>
      <c r="L172" s="398">
        <v>-2000</v>
      </c>
      <c r="M172" s="398">
        <f t="shared" si="15"/>
        <v>1000</v>
      </c>
      <c r="N172" s="398"/>
      <c r="O172" s="398">
        <f t="shared" si="16"/>
        <v>1000</v>
      </c>
    </row>
    <row r="173" spans="1:15" ht="24.75" customHeight="1">
      <c r="A173" s="194"/>
      <c r="B173" s="194"/>
      <c r="C173" s="287" t="s">
        <v>135</v>
      </c>
      <c r="D173" s="605" t="s">
        <v>385</v>
      </c>
      <c r="E173" s="340"/>
      <c r="F173" s="403" t="s">
        <v>656</v>
      </c>
      <c r="G173" s="398">
        <v>10000</v>
      </c>
      <c r="H173" s="398"/>
      <c r="I173" s="398">
        <v>10000</v>
      </c>
      <c r="J173" s="398">
        <v>5900</v>
      </c>
      <c r="K173" s="398"/>
      <c r="L173" s="398">
        <v>5900</v>
      </c>
      <c r="M173" s="398">
        <f t="shared" si="15"/>
        <v>15900</v>
      </c>
      <c r="N173" s="398"/>
      <c r="O173" s="398">
        <f t="shared" si="16"/>
        <v>15900</v>
      </c>
    </row>
    <row r="174" spans="1:15" ht="15" customHeight="1">
      <c r="A174" s="194"/>
      <c r="B174" s="194"/>
      <c r="C174" s="287" t="s">
        <v>136</v>
      </c>
      <c r="D174" s="605" t="s">
        <v>386</v>
      </c>
      <c r="E174" s="340" t="s">
        <v>477</v>
      </c>
      <c r="F174" s="403"/>
      <c r="G174" s="761">
        <v>300000</v>
      </c>
      <c r="H174" s="761"/>
      <c r="I174" s="761">
        <v>300000</v>
      </c>
      <c r="J174" s="398"/>
      <c r="K174" s="398"/>
      <c r="L174" s="398"/>
      <c r="M174" s="398">
        <f t="shared" si="15"/>
        <v>300000</v>
      </c>
      <c r="N174" s="398"/>
      <c r="O174" s="398">
        <f t="shared" si="16"/>
        <v>300000</v>
      </c>
    </row>
    <row r="175" spans="1:15" ht="15" customHeight="1">
      <c r="A175" s="194"/>
      <c r="B175" s="194"/>
      <c r="C175" s="287" t="s">
        <v>137</v>
      </c>
      <c r="D175" s="600" t="s">
        <v>387</v>
      </c>
      <c r="E175" s="340"/>
      <c r="F175" s="402"/>
      <c r="G175" s="761">
        <v>15000</v>
      </c>
      <c r="H175" s="761"/>
      <c r="I175" s="761">
        <v>15000</v>
      </c>
      <c r="J175" s="398"/>
      <c r="K175" s="398"/>
      <c r="L175" s="398"/>
      <c r="M175" s="398">
        <f t="shared" si="15"/>
        <v>15000</v>
      </c>
      <c r="N175" s="398"/>
      <c r="O175" s="398">
        <f t="shared" si="16"/>
        <v>15000</v>
      </c>
    </row>
    <row r="176" spans="1:15" ht="15" customHeight="1">
      <c r="A176" s="194"/>
      <c r="B176" s="194"/>
      <c r="C176" s="287" t="s">
        <v>138</v>
      </c>
      <c r="D176" s="606" t="s">
        <v>388</v>
      </c>
      <c r="E176" s="340"/>
      <c r="F176" s="402"/>
      <c r="G176" s="761">
        <v>8000</v>
      </c>
      <c r="H176" s="761"/>
      <c r="I176" s="761">
        <v>8000</v>
      </c>
      <c r="J176" s="398"/>
      <c r="K176" s="398"/>
      <c r="L176" s="398"/>
      <c r="M176" s="398">
        <f t="shared" si="15"/>
        <v>8000</v>
      </c>
      <c r="N176" s="398"/>
      <c r="O176" s="398">
        <f t="shared" si="16"/>
        <v>8000</v>
      </c>
    </row>
    <row r="177" spans="1:15" ht="24.75" customHeight="1">
      <c r="A177" s="194"/>
      <c r="B177" s="194"/>
      <c r="C177" s="287" t="s">
        <v>139</v>
      </c>
      <c r="D177" s="600" t="s">
        <v>389</v>
      </c>
      <c r="E177" s="340"/>
      <c r="F177" s="402"/>
      <c r="G177" s="761">
        <v>3833</v>
      </c>
      <c r="H177" s="761"/>
      <c r="I177" s="761">
        <v>3833</v>
      </c>
      <c r="J177" s="398"/>
      <c r="K177" s="398"/>
      <c r="L177" s="398"/>
      <c r="M177" s="398">
        <f t="shared" si="15"/>
        <v>3833</v>
      </c>
      <c r="N177" s="398"/>
      <c r="O177" s="398">
        <f t="shared" si="16"/>
        <v>3833</v>
      </c>
    </row>
    <row r="178" spans="1:15" ht="36" customHeight="1">
      <c r="A178" s="194"/>
      <c r="B178" s="194"/>
      <c r="C178" s="287" t="s">
        <v>140</v>
      </c>
      <c r="D178" s="755" t="s">
        <v>1207</v>
      </c>
      <c r="E178" s="340" t="s">
        <v>477</v>
      </c>
      <c r="F178" s="403" t="s">
        <v>656</v>
      </c>
      <c r="G178" s="761">
        <v>30000</v>
      </c>
      <c r="H178" s="761"/>
      <c r="I178" s="761">
        <v>30000</v>
      </c>
      <c r="J178" s="398">
        <v>177468</v>
      </c>
      <c r="K178" s="398"/>
      <c r="L178" s="398">
        <v>177468</v>
      </c>
      <c r="M178" s="398">
        <f t="shared" si="15"/>
        <v>207468</v>
      </c>
      <c r="N178" s="398"/>
      <c r="O178" s="398">
        <f t="shared" si="16"/>
        <v>207468</v>
      </c>
    </row>
    <row r="179" spans="1:15" ht="15" customHeight="1">
      <c r="A179" s="194"/>
      <c r="B179" s="194"/>
      <c r="C179" s="287" t="s">
        <v>141</v>
      </c>
      <c r="D179" s="607" t="s">
        <v>390</v>
      </c>
      <c r="E179" s="340"/>
      <c r="F179" s="403" t="s">
        <v>1171</v>
      </c>
      <c r="G179" s="761">
        <v>11500</v>
      </c>
      <c r="H179" s="761"/>
      <c r="I179" s="761">
        <v>11500</v>
      </c>
      <c r="J179" s="398">
        <v>-11500</v>
      </c>
      <c r="K179" s="398"/>
      <c r="L179" s="398">
        <v>-11500</v>
      </c>
      <c r="M179" s="398">
        <f t="shared" si="15"/>
        <v>0</v>
      </c>
      <c r="N179" s="398"/>
      <c r="O179" s="398">
        <f t="shared" si="16"/>
        <v>0</v>
      </c>
    </row>
    <row r="180" spans="1:15" ht="15" customHeight="1">
      <c r="A180" s="194"/>
      <c r="B180" s="194"/>
      <c r="C180" s="287" t="s">
        <v>142</v>
      </c>
      <c r="D180" s="608" t="s">
        <v>391</v>
      </c>
      <c r="E180" s="340"/>
      <c r="F180" s="402"/>
      <c r="G180" s="761">
        <v>21000</v>
      </c>
      <c r="H180" s="761"/>
      <c r="I180" s="761">
        <v>21000</v>
      </c>
      <c r="J180" s="398"/>
      <c r="K180" s="398"/>
      <c r="L180" s="398"/>
      <c r="M180" s="398">
        <f t="shared" si="15"/>
        <v>21000</v>
      </c>
      <c r="N180" s="398"/>
      <c r="O180" s="398">
        <f t="shared" si="16"/>
        <v>21000</v>
      </c>
    </row>
    <row r="181" spans="1:15" ht="15" customHeight="1">
      <c r="A181" s="194"/>
      <c r="B181" s="194"/>
      <c r="C181" s="287" t="s">
        <v>143</v>
      </c>
      <c r="D181" s="592" t="s">
        <v>324</v>
      </c>
      <c r="E181" s="453"/>
      <c r="F181" s="693"/>
      <c r="G181" s="761">
        <v>8000</v>
      </c>
      <c r="H181" s="761"/>
      <c r="I181" s="761">
        <v>8000</v>
      </c>
      <c r="J181" s="697"/>
      <c r="K181" s="697"/>
      <c r="L181" s="697"/>
      <c r="M181" s="398">
        <f>SUM(G181+J181)</f>
        <v>8000</v>
      </c>
      <c r="N181" s="398"/>
      <c r="O181" s="398">
        <f t="shared" si="16"/>
        <v>8000</v>
      </c>
    </row>
    <row r="182" spans="1:15" ht="15" customHeight="1">
      <c r="A182" s="194"/>
      <c r="B182" s="194"/>
      <c r="C182" s="288"/>
      <c r="D182" s="499" t="s">
        <v>265</v>
      </c>
      <c r="E182" s="338"/>
      <c r="F182" s="402"/>
      <c r="G182" s="761">
        <v>0</v>
      </c>
      <c r="H182" s="761"/>
      <c r="I182" s="761">
        <v>0</v>
      </c>
      <c r="J182" s="398"/>
      <c r="K182" s="398"/>
      <c r="L182" s="398"/>
      <c r="M182" s="398">
        <f t="shared" si="15"/>
        <v>0</v>
      </c>
      <c r="N182" s="398"/>
      <c r="O182" s="398">
        <f t="shared" si="16"/>
        <v>0</v>
      </c>
    </row>
    <row r="183" spans="1:15" ht="24.75" customHeight="1">
      <c r="A183" s="194"/>
      <c r="B183" s="194"/>
      <c r="C183" s="288" t="s">
        <v>955</v>
      </c>
      <c r="D183" s="522" t="s">
        <v>595</v>
      </c>
      <c r="E183" s="414"/>
      <c r="F183" s="402"/>
      <c r="G183" s="761">
        <v>0</v>
      </c>
      <c r="H183" s="761">
        <v>7775</v>
      </c>
      <c r="I183" s="761">
        <v>7775</v>
      </c>
      <c r="J183" s="398"/>
      <c r="K183" s="398"/>
      <c r="L183" s="398"/>
      <c r="M183" s="398">
        <f t="shared" si="15"/>
        <v>0</v>
      </c>
      <c r="N183" s="398">
        <f>SUM(H183+K183)</f>
        <v>7775</v>
      </c>
      <c r="O183" s="398">
        <f t="shared" si="16"/>
        <v>7775</v>
      </c>
    </row>
    <row r="184" spans="1:15" ht="24.75" customHeight="1">
      <c r="A184" s="194"/>
      <c r="B184" s="194"/>
      <c r="C184" s="288" t="s">
        <v>956</v>
      </c>
      <c r="D184" s="609" t="s">
        <v>596</v>
      </c>
      <c r="E184" s="414"/>
      <c r="F184" s="403"/>
      <c r="G184" s="761">
        <v>0</v>
      </c>
      <c r="H184" s="761">
        <v>1672</v>
      </c>
      <c r="I184" s="761">
        <v>1672</v>
      </c>
      <c r="J184" s="398"/>
      <c r="K184" s="398"/>
      <c r="L184" s="398"/>
      <c r="M184" s="398">
        <f t="shared" si="15"/>
        <v>0</v>
      </c>
      <c r="N184" s="398">
        <f>SUM(H184+K184)</f>
        <v>1672</v>
      </c>
      <c r="O184" s="398">
        <f t="shared" si="16"/>
        <v>1672</v>
      </c>
    </row>
    <row r="185" spans="1:15" ht="15" customHeight="1">
      <c r="A185" s="194"/>
      <c r="B185" s="194"/>
      <c r="C185" s="610" t="s">
        <v>957</v>
      </c>
      <c r="D185" s="611" t="s">
        <v>392</v>
      </c>
      <c r="E185" s="414"/>
      <c r="F185" s="403"/>
      <c r="G185" s="761">
        <v>2000</v>
      </c>
      <c r="H185" s="761"/>
      <c r="I185" s="761">
        <v>2000</v>
      </c>
      <c r="J185" s="398"/>
      <c r="K185" s="398"/>
      <c r="L185" s="398"/>
      <c r="M185" s="398">
        <f t="shared" si="15"/>
        <v>2000</v>
      </c>
      <c r="N185" s="398"/>
      <c r="O185" s="398">
        <f t="shared" si="16"/>
        <v>2000</v>
      </c>
    </row>
    <row r="186" spans="1:15" ht="15" customHeight="1">
      <c r="A186" s="194"/>
      <c r="B186" s="194"/>
      <c r="C186" s="288" t="s">
        <v>958</v>
      </c>
      <c r="D186" s="522" t="s">
        <v>616</v>
      </c>
      <c r="E186" s="414"/>
      <c r="F186" s="403" t="s">
        <v>1171</v>
      </c>
      <c r="G186" s="761">
        <v>6130</v>
      </c>
      <c r="H186" s="761"/>
      <c r="I186" s="761">
        <v>6130</v>
      </c>
      <c r="J186" s="398">
        <v>3000</v>
      </c>
      <c r="K186" s="398"/>
      <c r="L186" s="398">
        <v>3000</v>
      </c>
      <c r="M186" s="398">
        <f t="shared" si="15"/>
        <v>9130</v>
      </c>
      <c r="N186" s="398"/>
      <c r="O186" s="398">
        <f t="shared" si="16"/>
        <v>9130</v>
      </c>
    </row>
    <row r="187" spans="1:15" ht="15" customHeight="1">
      <c r="A187" s="194"/>
      <c r="B187" s="194"/>
      <c r="C187" s="288" t="s">
        <v>959</v>
      </c>
      <c r="D187" s="341" t="s">
        <v>954</v>
      </c>
      <c r="E187" s="414"/>
      <c r="F187" s="403"/>
      <c r="G187" s="761">
        <v>3024</v>
      </c>
      <c r="H187" s="761"/>
      <c r="I187" s="761">
        <v>3024</v>
      </c>
      <c r="J187" s="398"/>
      <c r="K187" s="398"/>
      <c r="L187" s="398"/>
      <c r="M187" s="398">
        <f t="shared" si="15"/>
        <v>3024</v>
      </c>
      <c r="N187" s="398"/>
      <c r="O187" s="398">
        <f t="shared" si="16"/>
        <v>3024</v>
      </c>
    </row>
    <row r="188" spans="1:15" ht="15" customHeight="1">
      <c r="A188" s="194"/>
      <c r="B188" s="194"/>
      <c r="C188" s="288" t="s">
        <v>960</v>
      </c>
      <c r="D188" s="458" t="s">
        <v>623</v>
      </c>
      <c r="E188" s="414"/>
      <c r="F188" s="338"/>
      <c r="G188" s="761">
        <v>20728</v>
      </c>
      <c r="H188" s="761"/>
      <c r="I188" s="761">
        <v>20728</v>
      </c>
      <c r="J188" s="398"/>
      <c r="K188" s="398"/>
      <c r="L188" s="398"/>
      <c r="M188" s="398">
        <f t="shared" si="15"/>
        <v>20728</v>
      </c>
      <c r="N188" s="398"/>
      <c r="O188" s="398">
        <f t="shared" si="16"/>
        <v>20728</v>
      </c>
    </row>
    <row r="189" spans="1:15" ht="15" customHeight="1">
      <c r="A189" s="194"/>
      <c r="B189" s="194"/>
      <c r="C189" s="288" t="s">
        <v>961</v>
      </c>
      <c r="D189" s="504" t="s">
        <v>618</v>
      </c>
      <c r="E189" s="453"/>
      <c r="F189" s="693"/>
      <c r="G189" s="761">
        <v>8000</v>
      </c>
      <c r="H189" s="761"/>
      <c r="I189" s="761">
        <v>8000</v>
      </c>
      <c r="J189" s="697"/>
      <c r="K189" s="697"/>
      <c r="L189" s="697"/>
      <c r="M189" s="398">
        <f>SUM(G189+J189)</f>
        <v>8000</v>
      </c>
      <c r="N189" s="398"/>
      <c r="O189" s="398">
        <f t="shared" si="16"/>
        <v>8000</v>
      </c>
    </row>
    <row r="190" spans="1:15" ht="33.75" customHeight="1">
      <c r="A190" s="194"/>
      <c r="B190" s="194"/>
      <c r="C190" s="288" t="s">
        <v>962</v>
      </c>
      <c r="D190" s="341" t="s">
        <v>621</v>
      </c>
      <c r="E190" s="453" t="s">
        <v>477</v>
      </c>
      <c r="F190" s="693" t="s">
        <v>656</v>
      </c>
      <c r="G190" s="761">
        <v>55257</v>
      </c>
      <c r="H190" s="761"/>
      <c r="I190" s="761">
        <v>55257</v>
      </c>
      <c r="J190" s="513">
        <v>-1472</v>
      </c>
      <c r="K190" s="513"/>
      <c r="L190" s="513">
        <v>-1472</v>
      </c>
      <c r="M190" s="398">
        <f>SUM(G190+J190)</f>
        <v>53785</v>
      </c>
      <c r="N190" s="398"/>
      <c r="O190" s="398">
        <f t="shared" si="16"/>
        <v>53785</v>
      </c>
    </row>
    <row r="191" spans="1:15" ht="24.75" customHeight="1">
      <c r="A191" s="194"/>
      <c r="B191" s="194"/>
      <c r="C191" s="288" t="s">
        <v>963</v>
      </c>
      <c r="D191" s="341" t="s">
        <v>327</v>
      </c>
      <c r="E191" s="453"/>
      <c r="F191" s="693" t="s">
        <v>1176</v>
      </c>
      <c r="G191" s="761">
        <v>187014</v>
      </c>
      <c r="H191" s="761"/>
      <c r="I191" s="761">
        <v>187014</v>
      </c>
      <c r="J191" s="513">
        <v>-26372</v>
      </c>
      <c r="K191" s="513"/>
      <c r="L191" s="513">
        <v>-26372</v>
      </c>
      <c r="M191" s="398">
        <f>SUM(G191+J191)</f>
        <v>160642</v>
      </c>
      <c r="N191" s="398"/>
      <c r="O191" s="398">
        <f t="shared" si="16"/>
        <v>160642</v>
      </c>
    </row>
    <row r="192" spans="1:15" ht="15" customHeight="1">
      <c r="A192" s="194"/>
      <c r="B192" s="194"/>
      <c r="C192" s="288" t="s">
        <v>161</v>
      </c>
      <c r="D192" s="341" t="s">
        <v>642</v>
      </c>
      <c r="E192" s="453"/>
      <c r="F192" s="693"/>
      <c r="G192" s="761">
        <v>1325</v>
      </c>
      <c r="H192" s="761"/>
      <c r="I192" s="761">
        <v>1325</v>
      </c>
      <c r="J192" s="697"/>
      <c r="K192" s="697"/>
      <c r="L192" s="697"/>
      <c r="M192" s="398">
        <f>SUM(G192+J192)</f>
        <v>1325</v>
      </c>
      <c r="N192" s="398"/>
      <c r="O192" s="398">
        <f t="shared" si="16"/>
        <v>1325</v>
      </c>
    </row>
    <row r="193" spans="1:15" ht="15" customHeight="1">
      <c r="A193" s="194"/>
      <c r="B193" s="194"/>
      <c r="C193" s="282" t="s">
        <v>125</v>
      </c>
      <c r="D193" s="339" t="s">
        <v>1010</v>
      </c>
      <c r="E193" s="414"/>
      <c r="F193" s="338"/>
      <c r="G193" s="761">
        <v>0</v>
      </c>
      <c r="H193" s="761"/>
      <c r="I193" s="761">
        <v>0</v>
      </c>
      <c r="J193" s="398"/>
      <c r="K193" s="398"/>
      <c r="L193" s="398"/>
      <c r="M193" s="398">
        <f t="shared" si="15"/>
        <v>0</v>
      </c>
      <c r="N193" s="398"/>
      <c r="O193" s="398">
        <f t="shared" si="16"/>
        <v>0</v>
      </c>
    </row>
    <row r="194" spans="1:15" ht="15" customHeight="1">
      <c r="A194" s="194"/>
      <c r="B194" s="194"/>
      <c r="C194" s="287" t="s">
        <v>342</v>
      </c>
      <c r="D194" s="337" t="s">
        <v>625</v>
      </c>
      <c r="E194" s="453"/>
      <c r="F194" s="338"/>
      <c r="G194" s="761">
        <v>1800</v>
      </c>
      <c r="H194" s="761"/>
      <c r="I194" s="761">
        <v>1800</v>
      </c>
      <c r="J194" s="398"/>
      <c r="K194" s="398"/>
      <c r="L194" s="398"/>
      <c r="M194" s="398">
        <f t="shared" si="15"/>
        <v>1800</v>
      </c>
      <c r="N194" s="398"/>
      <c r="O194" s="398">
        <f t="shared" si="16"/>
        <v>1800</v>
      </c>
    </row>
    <row r="195" spans="1:15" ht="15" customHeight="1">
      <c r="A195" s="194"/>
      <c r="B195" s="194"/>
      <c r="C195" s="282" t="s">
        <v>126</v>
      </c>
      <c r="D195" s="339" t="s">
        <v>1011</v>
      </c>
      <c r="E195" s="340"/>
      <c r="F195" s="338"/>
      <c r="G195" s="761">
        <v>0</v>
      </c>
      <c r="H195" s="761"/>
      <c r="I195" s="761">
        <v>0</v>
      </c>
      <c r="J195" s="398"/>
      <c r="K195" s="398"/>
      <c r="L195" s="398"/>
      <c r="M195" s="398">
        <f t="shared" si="15"/>
        <v>0</v>
      </c>
      <c r="N195" s="398"/>
      <c r="O195" s="398">
        <f t="shared" si="16"/>
        <v>0</v>
      </c>
    </row>
    <row r="196" spans="1:15" ht="15" customHeight="1">
      <c r="A196" s="194"/>
      <c r="B196" s="194"/>
      <c r="C196" s="287" t="s">
        <v>167</v>
      </c>
      <c r="D196" s="337" t="s">
        <v>964</v>
      </c>
      <c r="E196" s="414"/>
      <c r="F196" s="338" t="s">
        <v>696</v>
      </c>
      <c r="G196" s="761">
        <v>13350</v>
      </c>
      <c r="H196" s="761"/>
      <c r="I196" s="761">
        <v>13350</v>
      </c>
      <c r="J196" s="398">
        <v>-6750</v>
      </c>
      <c r="K196" s="398"/>
      <c r="L196" s="398">
        <v>-6750</v>
      </c>
      <c r="M196" s="398">
        <f t="shared" si="15"/>
        <v>6600</v>
      </c>
      <c r="N196" s="398"/>
      <c r="O196" s="398">
        <f t="shared" si="16"/>
        <v>6600</v>
      </c>
    </row>
    <row r="197" spans="1:15" ht="27.75" customHeight="1">
      <c r="A197" s="194"/>
      <c r="B197" s="194"/>
      <c r="C197" s="287" t="s">
        <v>936</v>
      </c>
      <c r="D197" s="696" t="s">
        <v>570</v>
      </c>
      <c r="E197" s="414"/>
      <c r="F197" s="338" t="s">
        <v>696</v>
      </c>
      <c r="G197" s="761">
        <v>850</v>
      </c>
      <c r="H197" s="761"/>
      <c r="I197" s="761">
        <v>850</v>
      </c>
      <c r="J197" s="398">
        <v>-850</v>
      </c>
      <c r="K197" s="398"/>
      <c r="L197" s="398">
        <v>-850</v>
      </c>
      <c r="M197" s="398">
        <f t="shared" si="15"/>
        <v>0</v>
      </c>
      <c r="N197" s="398"/>
      <c r="O197" s="398">
        <f t="shared" si="16"/>
        <v>0</v>
      </c>
    </row>
    <row r="198" spans="1:15" ht="27.75" customHeight="1">
      <c r="A198" s="194"/>
      <c r="B198" s="194"/>
      <c r="C198" s="287" t="s">
        <v>937</v>
      </c>
      <c r="D198" s="696" t="s">
        <v>571</v>
      </c>
      <c r="E198" s="414"/>
      <c r="F198" s="338" t="s">
        <v>696</v>
      </c>
      <c r="G198" s="761">
        <v>400</v>
      </c>
      <c r="H198" s="761"/>
      <c r="I198" s="761">
        <v>400</v>
      </c>
      <c r="J198" s="398">
        <v>-400</v>
      </c>
      <c r="K198" s="398"/>
      <c r="L198" s="398">
        <v>-400</v>
      </c>
      <c r="M198" s="398">
        <f t="shared" si="15"/>
        <v>0</v>
      </c>
      <c r="N198" s="398"/>
      <c r="O198" s="398">
        <f t="shared" si="16"/>
        <v>0</v>
      </c>
    </row>
    <row r="199" spans="1:15" ht="34.5" customHeight="1">
      <c r="A199" s="194"/>
      <c r="B199" s="194"/>
      <c r="C199" s="287" t="s">
        <v>938</v>
      </c>
      <c r="D199" s="696" t="s">
        <v>572</v>
      </c>
      <c r="E199" s="414"/>
      <c r="F199" s="338" t="s">
        <v>696</v>
      </c>
      <c r="G199" s="761">
        <v>400</v>
      </c>
      <c r="H199" s="761"/>
      <c r="I199" s="761">
        <v>400</v>
      </c>
      <c r="J199" s="398">
        <v>-400</v>
      </c>
      <c r="K199" s="398"/>
      <c r="L199" s="398">
        <v>-400</v>
      </c>
      <c r="M199" s="398">
        <f t="shared" si="15"/>
        <v>0</v>
      </c>
      <c r="N199" s="398"/>
      <c r="O199" s="398">
        <f t="shared" si="16"/>
        <v>0</v>
      </c>
    </row>
    <row r="200" spans="1:15" ht="24.75" customHeight="1">
      <c r="A200" s="194"/>
      <c r="B200" s="194"/>
      <c r="C200" s="287" t="s">
        <v>1208</v>
      </c>
      <c r="D200" s="457" t="s">
        <v>1209</v>
      </c>
      <c r="E200" s="414"/>
      <c r="F200" s="338" t="s">
        <v>696</v>
      </c>
      <c r="G200" s="761"/>
      <c r="H200" s="761"/>
      <c r="I200" s="761"/>
      <c r="J200" s="398">
        <v>4000</v>
      </c>
      <c r="K200" s="398"/>
      <c r="L200" s="398">
        <v>4000</v>
      </c>
      <c r="M200" s="398">
        <f t="shared" si="15"/>
        <v>4000</v>
      </c>
      <c r="N200" s="398"/>
      <c r="O200" s="398">
        <f t="shared" si="16"/>
        <v>4000</v>
      </c>
    </row>
    <row r="201" spans="1:15" ht="15" customHeight="1">
      <c r="A201" s="194"/>
      <c r="B201" s="194"/>
      <c r="C201" s="287"/>
      <c r="D201" s="499" t="s">
        <v>393</v>
      </c>
      <c r="E201" s="414"/>
      <c r="F201" s="335"/>
      <c r="G201" s="761">
        <v>0</v>
      </c>
      <c r="H201" s="761"/>
      <c r="I201" s="761">
        <v>0</v>
      </c>
      <c r="J201" s="398"/>
      <c r="K201" s="398"/>
      <c r="L201" s="398"/>
      <c r="M201" s="398">
        <f t="shared" si="15"/>
        <v>0</v>
      </c>
      <c r="N201" s="398"/>
      <c r="O201" s="398">
        <f t="shared" si="16"/>
        <v>0</v>
      </c>
    </row>
    <row r="202" spans="1:15" ht="15" customHeight="1">
      <c r="A202" s="194"/>
      <c r="B202" s="194"/>
      <c r="C202" s="287" t="s">
        <v>965</v>
      </c>
      <c r="D202" s="337" t="s">
        <v>235</v>
      </c>
      <c r="E202" s="414"/>
      <c r="F202" s="338"/>
      <c r="G202" s="761">
        <v>337</v>
      </c>
      <c r="H202" s="761"/>
      <c r="I202" s="761">
        <v>337</v>
      </c>
      <c r="J202" s="398"/>
      <c r="K202" s="398"/>
      <c r="L202" s="398"/>
      <c r="M202" s="398">
        <f t="shared" si="15"/>
        <v>337</v>
      </c>
      <c r="N202" s="398"/>
      <c r="O202" s="398">
        <f t="shared" si="16"/>
        <v>337</v>
      </c>
    </row>
    <row r="203" spans="1:15" ht="15" customHeight="1">
      <c r="A203" s="194"/>
      <c r="B203" s="194"/>
      <c r="C203" s="287" t="s">
        <v>452</v>
      </c>
      <c r="D203" s="457" t="s">
        <v>944</v>
      </c>
      <c r="E203" s="414"/>
      <c r="F203" s="338"/>
      <c r="G203" s="761">
        <v>68</v>
      </c>
      <c r="H203" s="761"/>
      <c r="I203" s="761">
        <v>68</v>
      </c>
      <c r="J203" s="398"/>
      <c r="K203" s="398"/>
      <c r="L203" s="398"/>
      <c r="M203" s="398">
        <f t="shared" si="15"/>
        <v>68</v>
      </c>
      <c r="N203" s="398"/>
      <c r="O203" s="398">
        <f aca="true" t="shared" si="17" ref="O203:O226">SUM(I203+L203)</f>
        <v>68</v>
      </c>
    </row>
    <row r="204" spans="1:15" ht="15" customHeight="1">
      <c r="A204" s="194"/>
      <c r="B204" s="194"/>
      <c r="C204" s="287" t="s">
        <v>453</v>
      </c>
      <c r="D204" s="457" t="s">
        <v>394</v>
      </c>
      <c r="E204" s="414"/>
      <c r="F204" s="338"/>
      <c r="G204" s="761">
        <v>600</v>
      </c>
      <c r="H204" s="761"/>
      <c r="I204" s="761">
        <v>600</v>
      </c>
      <c r="J204" s="398"/>
      <c r="K204" s="398"/>
      <c r="L204" s="398"/>
      <c r="M204" s="398">
        <f t="shared" si="15"/>
        <v>600</v>
      </c>
      <c r="N204" s="398"/>
      <c r="O204" s="398">
        <f t="shared" si="17"/>
        <v>600</v>
      </c>
    </row>
    <row r="205" spans="1:15" ht="24.75" customHeight="1">
      <c r="A205" s="194"/>
      <c r="B205" s="194"/>
      <c r="C205" s="287" t="s">
        <v>966</v>
      </c>
      <c r="D205" s="457" t="s">
        <v>395</v>
      </c>
      <c r="E205" s="414"/>
      <c r="F205" s="338"/>
      <c r="G205" s="761">
        <v>600</v>
      </c>
      <c r="H205" s="761"/>
      <c r="I205" s="761">
        <v>600</v>
      </c>
      <c r="J205" s="398"/>
      <c r="K205" s="398"/>
      <c r="L205" s="398"/>
      <c r="M205" s="398">
        <f t="shared" si="15"/>
        <v>600</v>
      </c>
      <c r="N205" s="398"/>
      <c r="O205" s="398">
        <f t="shared" si="17"/>
        <v>600</v>
      </c>
    </row>
    <row r="206" spans="1:15" ht="15" customHeight="1">
      <c r="A206" s="194"/>
      <c r="B206" s="194"/>
      <c r="C206" s="287" t="s">
        <v>967</v>
      </c>
      <c r="D206" s="457" t="s">
        <v>626</v>
      </c>
      <c r="E206" s="414"/>
      <c r="F206" s="338"/>
      <c r="G206" s="761">
        <v>339</v>
      </c>
      <c r="H206" s="761"/>
      <c r="I206" s="761">
        <v>339</v>
      </c>
      <c r="J206" s="402"/>
      <c r="K206" s="398"/>
      <c r="L206" s="402"/>
      <c r="M206" s="398">
        <f t="shared" si="15"/>
        <v>339</v>
      </c>
      <c r="N206" s="398"/>
      <c r="O206" s="398">
        <f t="shared" si="17"/>
        <v>339</v>
      </c>
    </row>
    <row r="207" spans="1:15" ht="15" customHeight="1">
      <c r="A207" s="217"/>
      <c r="B207" s="217"/>
      <c r="C207" s="287" t="s">
        <v>168</v>
      </c>
      <c r="D207" s="337" t="s">
        <v>1005</v>
      </c>
      <c r="E207" s="414"/>
      <c r="F207" s="338" t="s">
        <v>1171</v>
      </c>
      <c r="G207" s="761">
        <v>21403</v>
      </c>
      <c r="H207" s="761"/>
      <c r="I207" s="761">
        <v>21403</v>
      </c>
      <c r="J207" s="402">
        <v>-3000</v>
      </c>
      <c r="K207" s="402"/>
      <c r="L207" s="402">
        <v>-3000</v>
      </c>
      <c r="M207" s="398">
        <f t="shared" si="15"/>
        <v>18403</v>
      </c>
      <c r="N207" s="398"/>
      <c r="O207" s="398">
        <f t="shared" si="17"/>
        <v>18403</v>
      </c>
    </row>
    <row r="208" spans="1:15" ht="15" customHeight="1">
      <c r="A208" s="217"/>
      <c r="B208" s="217"/>
      <c r="C208" s="287" t="s">
        <v>169</v>
      </c>
      <c r="D208" s="508" t="s">
        <v>1007</v>
      </c>
      <c r="E208" s="414"/>
      <c r="F208" s="338"/>
      <c r="G208" s="761">
        <v>13835</v>
      </c>
      <c r="H208" s="761"/>
      <c r="I208" s="761">
        <v>13835</v>
      </c>
      <c r="J208" s="402"/>
      <c r="K208" s="402"/>
      <c r="L208" s="402"/>
      <c r="M208" s="398">
        <f t="shared" si="15"/>
        <v>13835</v>
      </c>
      <c r="N208" s="398"/>
      <c r="O208" s="398">
        <f t="shared" si="17"/>
        <v>13835</v>
      </c>
    </row>
    <row r="209" spans="1:15" ht="24.75" customHeight="1">
      <c r="A209" s="217"/>
      <c r="B209" s="217"/>
      <c r="C209" s="287" t="s">
        <v>706</v>
      </c>
      <c r="D209" s="599" t="s">
        <v>396</v>
      </c>
      <c r="E209" s="414"/>
      <c r="F209" s="338" t="s">
        <v>1171</v>
      </c>
      <c r="G209" s="761">
        <v>9000</v>
      </c>
      <c r="H209" s="761"/>
      <c r="I209" s="761">
        <v>9000</v>
      </c>
      <c r="J209" s="402">
        <v>3240</v>
      </c>
      <c r="K209" s="402"/>
      <c r="L209" s="402">
        <v>3240</v>
      </c>
      <c r="M209" s="398">
        <f t="shared" si="15"/>
        <v>12240</v>
      </c>
      <c r="N209" s="398"/>
      <c r="O209" s="398">
        <f t="shared" si="17"/>
        <v>12240</v>
      </c>
    </row>
    <row r="210" spans="1:15" ht="15" customHeight="1">
      <c r="A210" s="217"/>
      <c r="B210" s="217"/>
      <c r="C210" s="287" t="s">
        <v>707</v>
      </c>
      <c r="D210" s="337" t="s">
        <v>627</v>
      </c>
      <c r="E210" s="414"/>
      <c r="F210" s="338"/>
      <c r="G210" s="761">
        <v>0</v>
      </c>
      <c r="H210" s="761">
        <v>17500</v>
      </c>
      <c r="I210" s="761">
        <v>17500</v>
      </c>
      <c r="J210" s="402"/>
      <c r="K210" s="402"/>
      <c r="L210" s="402"/>
      <c r="M210" s="398">
        <f t="shared" si="15"/>
        <v>0</v>
      </c>
      <c r="N210" s="398">
        <f>SUM(H210+K210)</f>
        <v>17500</v>
      </c>
      <c r="O210" s="398">
        <f t="shared" si="17"/>
        <v>17500</v>
      </c>
    </row>
    <row r="211" spans="1:15" ht="24.75" customHeight="1">
      <c r="A211" s="217"/>
      <c r="B211" s="217"/>
      <c r="C211" s="287" t="s">
        <v>968</v>
      </c>
      <c r="D211" s="612" t="s">
        <v>397</v>
      </c>
      <c r="E211" s="414"/>
      <c r="F211" s="338" t="s">
        <v>1171</v>
      </c>
      <c r="G211" s="761">
        <v>10000</v>
      </c>
      <c r="H211" s="761"/>
      <c r="I211" s="761">
        <v>10000</v>
      </c>
      <c r="J211" s="402">
        <v>-3240</v>
      </c>
      <c r="K211" s="402"/>
      <c r="L211" s="402">
        <v>-3240</v>
      </c>
      <c r="M211" s="398">
        <f t="shared" si="15"/>
        <v>6760</v>
      </c>
      <c r="N211" s="398"/>
      <c r="O211" s="398">
        <f t="shared" si="17"/>
        <v>6760</v>
      </c>
    </row>
    <row r="212" spans="1:15" ht="15" customHeight="1">
      <c r="A212" s="217"/>
      <c r="B212" s="217"/>
      <c r="C212" s="287" t="s">
        <v>969</v>
      </c>
      <c r="D212" s="783" t="s">
        <v>398</v>
      </c>
      <c r="E212" s="414"/>
      <c r="F212" s="338"/>
      <c r="G212" s="761">
        <v>25000</v>
      </c>
      <c r="H212" s="761"/>
      <c r="I212" s="761">
        <v>25000</v>
      </c>
      <c r="J212" s="402"/>
      <c r="K212" s="402"/>
      <c r="L212" s="402"/>
      <c r="M212" s="398">
        <f t="shared" si="15"/>
        <v>25000</v>
      </c>
      <c r="N212" s="398"/>
      <c r="O212" s="398">
        <f t="shared" si="17"/>
        <v>25000</v>
      </c>
    </row>
    <row r="213" spans="1:15" ht="24.75" customHeight="1">
      <c r="A213" s="217"/>
      <c r="B213" s="217"/>
      <c r="C213" s="287" t="s">
        <v>735</v>
      </c>
      <c r="D213" s="784" t="s">
        <v>736</v>
      </c>
      <c r="E213" s="414"/>
      <c r="F213" s="338" t="s">
        <v>656</v>
      </c>
      <c r="G213" s="761"/>
      <c r="H213" s="761"/>
      <c r="I213" s="761"/>
      <c r="J213" s="402">
        <v>100023</v>
      </c>
      <c r="K213" s="402"/>
      <c r="L213" s="402">
        <v>100023</v>
      </c>
      <c r="M213" s="398">
        <f t="shared" si="15"/>
        <v>100023</v>
      </c>
      <c r="N213" s="398"/>
      <c r="O213" s="398">
        <f t="shared" si="17"/>
        <v>100023</v>
      </c>
    </row>
    <row r="214" spans="1:15" ht="15" customHeight="1">
      <c r="A214" s="217"/>
      <c r="B214" s="217"/>
      <c r="C214" s="287" t="s">
        <v>891</v>
      </c>
      <c r="D214" s="784" t="s">
        <v>892</v>
      </c>
      <c r="E214" s="414"/>
      <c r="F214" s="338" t="s">
        <v>1171</v>
      </c>
      <c r="G214" s="761"/>
      <c r="H214" s="761"/>
      <c r="I214" s="761"/>
      <c r="J214" s="402">
        <v>900</v>
      </c>
      <c r="K214" s="402"/>
      <c r="L214" s="402">
        <v>900</v>
      </c>
      <c r="M214" s="398">
        <f t="shared" si="15"/>
        <v>900</v>
      </c>
      <c r="N214" s="398"/>
      <c r="O214" s="398">
        <f t="shared" si="17"/>
        <v>900</v>
      </c>
    </row>
    <row r="215" spans="1:15" ht="15" customHeight="1">
      <c r="A215" s="217"/>
      <c r="B215" s="217"/>
      <c r="C215" s="287"/>
      <c r="D215" s="499" t="s">
        <v>265</v>
      </c>
      <c r="E215" s="414"/>
      <c r="F215" s="338"/>
      <c r="G215" s="761">
        <v>0</v>
      </c>
      <c r="H215" s="761"/>
      <c r="I215" s="761">
        <v>0</v>
      </c>
      <c r="J215" s="402"/>
      <c r="K215" s="402"/>
      <c r="L215" s="402"/>
      <c r="M215" s="398">
        <f t="shared" si="15"/>
        <v>0</v>
      </c>
      <c r="N215" s="398"/>
      <c r="O215" s="398">
        <f t="shared" si="17"/>
        <v>0</v>
      </c>
    </row>
    <row r="216" spans="1:15" ht="15" customHeight="1">
      <c r="A216" s="217"/>
      <c r="B216" s="217"/>
      <c r="C216" s="287" t="s">
        <v>971</v>
      </c>
      <c r="D216" s="337" t="s">
        <v>649</v>
      </c>
      <c r="E216" s="414" t="s">
        <v>477</v>
      </c>
      <c r="F216" s="338"/>
      <c r="G216" s="761">
        <v>729493</v>
      </c>
      <c r="H216" s="761"/>
      <c r="I216" s="761">
        <v>729493</v>
      </c>
      <c r="J216" s="402"/>
      <c r="K216" s="402"/>
      <c r="L216" s="402"/>
      <c r="M216" s="398">
        <f t="shared" si="15"/>
        <v>729493</v>
      </c>
      <c r="N216" s="398"/>
      <c r="O216" s="398">
        <f t="shared" si="17"/>
        <v>729493</v>
      </c>
    </row>
    <row r="217" spans="1:15" ht="15" customHeight="1">
      <c r="A217" s="217"/>
      <c r="B217" s="217"/>
      <c r="C217" s="287" t="s">
        <v>972</v>
      </c>
      <c r="D217" s="613" t="s">
        <v>399</v>
      </c>
      <c r="E217" s="614" t="s">
        <v>477</v>
      </c>
      <c r="F217" s="338"/>
      <c r="G217" s="761">
        <v>31170</v>
      </c>
      <c r="H217" s="761"/>
      <c r="I217" s="761">
        <v>31170</v>
      </c>
      <c r="J217" s="402"/>
      <c r="K217" s="402"/>
      <c r="L217" s="402"/>
      <c r="M217" s="398">
        <f t="shared" si="15"/>
        <v>31170</v>
      </c>
      <c r="N217" s="398"/>
      <c r="O217" s="398">
        <f t="shared" si="17"/>
        <v>31170</v>
      </c>
    </row>
    <row r="218" spans="1:15" ht="24.75" customHeight="1">
      <c r="A218" s="217"/>
      <c r="B218" s="217"/>
      <c r="C218" s="287" t="s">
        <v>973</v>
      </c>
      <c r="D218" s="457" t="s">
        <v>650</v>
      </c>
      <c r="E218" s="414"/>
      <c r="F218" s="338"/>
      <c r="G218" s="761">
        <v>680</v>
      </c>
      <c r="H218" s="761"/>
      <c r="I218" s="761">
        <v>680</v>
      </c>
      <c r="J218" s="402"/>
      <c r="K218" s="402"/>
      <c r="L218" s="402"/>
      <c r="M218" s="398">
        <f t="shared" si="15"/>
        <v>680</v>
      </c>
      <c r="N218" s="398"/>
      <c r="O218" s="398">
        <f t="shared" si="17"/>
        <v>680</v>
      </c>
    </row>
    <row r="219" spans="1:15" ht="15" customHeight="1">
      <c r="A219" s="217"/>
      <c r="B219" s="217"/>
      <c r="C219" s="287" t="s">
        <v>974</v>
      </c>
      <c r="D219" s="337" t="s">
        <v>648</v>
      </c>
      <c r="E219" s="414"/>
      <c r="F219" s="338"/>
      <c r="G219" s="761">
        <v>1480</v>
      </c>
      <c r="H219" s="761"/>
      <c r="I219" s="761">
        <v>1480</v>
      </c>
      <c r="J219" s="402"/>
      <c r="K219" s="402"/>
      <c r="L219" s="402"/>
      <c r="M219" s="398">
        <f t="shared" si="15"/>
        <v>1480</v>
      </c>
      <c r="N219" s="398"/>
      <c r="O219" s="398">
        <f t="shared" si="17"/>
        <v>1480</v>
      </c>
    </row>
    <row r="220" spans="1:15" ht="15" customHeight="1">
      <c r="A220" s="217"/>
      <c r="B220" s="217"/>
      <c r="C220" s="287" t="s">
        <v>975</v>
      </c>
      <c r="D220" s="337" t="s">
        <v>970</v>
      </c>
      <c r="E220" s="414"/>
      <c r="F220" s="338"/>
      <c r="G220" s="761">
        <v>3500</v>
      </c>
      <c r="H220" s="761"/>
      <c r="I220" s="761">
        <v>3500</v>
      </c>
      <c r="J220" s="402"/>
      <c r="K220" s="402"/>
      <c r="L220" s="402"/>
      <c r="M220" s="398">
        <f t="shared" si="15"/>
        <v>3500</v>
      </c>
      <c r="N220" s="398"/>
      <c r="O220" s="398">
        <f t="shared" si="17"/>
        <v>3500</v>
      </c>
    </row>
    <row r="221" spans="1:15" ht="24.75" customHeight="1">
      <c r="A221" s="217"/>
      <c r="B221" s="217"/>
      <c r="C221" s="287" t="s">
        <v>976</v>
      </c>
      <c r="D221" s="509" t="s">
        <v>249</v>
      </c>
      <c r="E221" s="414"/>
      <c r="F221" s="338"/>
      <c r="G221" s="761">
        <v>9160</v>
      </c>
      <c r="H221" s="761"/>
      <c r="I221" s="761">
        <v>9160</v>
      </c>
      <c r="J221" s="402"/>
      <c r="K221" s="402"/>
      <c r="L221" s="402"/>
      <c r="M221" s="398">
        <f t="shared" si="15"/>
        <v>9160</v>
      </c>
      <c r="N221" s="398"/>
      <c r="O221" s="398">
        <f t="shared" si="17"/>
        <v>9160</v>
      </c>
    </row>
    <row r="222" spans="1:15" ht="24.75" customHeight="1">
      <c r="A222" s="217"/>
      <c r="B222" s="217"/>
      <c r="C222" s="287" t="s">
        <v>977</v>
      </c>
      <c r="D222" s="341" t="s">
        <v>632</v>
      </c>
      <c r="E222" s="414"/>
      <c r="F222" s="338"/>
      <c r="G222" s="761">
        <v>4000</v>
      </c>
      <c r="H222" s="761"/>
      <c r="I222" s="761">
        <v>4000</v>
      </c>
      <c r="J222" s="402"/>
      <c r="K222" s="402"/>
      <c r="L222" s="402"/>
      <c r="M222" s="398">
        <f t="shared" si="15"/>
        <v>4000</v>
      </c>
      <c r="N222" s="398"/>
      <c r="O222" s="398">
        <f t="shared" si="17"/>
        <v>4000</v>
      </c>
    </row>
    <row r="223" spans="1:15" ht="15" customHeight="1">
      <c r="A223" s="217"/>
      <c r="B223" s="217"/>
      <c r="C223" s="287" t="s">
        <v>978</v>
      </c>
      <c r="D223" s="510" t="s">
        <v>634</v>
      </c>
      <c r="E223" s="414"/>
      <c r="F223" s="338"/>
      <c r="G223" s="761">
        <v>10000</v>
      </c>
      <c r="H223" s="761"/>
      <c r="I223" s="761">
        <v>10000</v>
      </c>
      <c r="J223" s="402"/>
      <c r="K223" s="402"/>
      <c r="L223" s="402"/>
      <c r="M223" s="398">
        <f t="shared" si="15"/>
        <v>10000</v>
      </c>
      <c r="N223" s="398"/>
      <c r="O223" s="398">
        <f t="shared" si="17"/>
        <v>10000</v>
      </c>
    </row>
    <row r="224" spans="1:15" ht="15" customHeight="1">
      <c r="A224" s="217"/>
      <c r="B224" s="217"/>
      <c r="C224" s="287" t="s">
        <v>979</v>
      </c>
      <c r="D224" s="510" t="s">
        <v>635</v>
      </c>
      <c r="E224" s="414"/>
      <c r="F224" s="338"/>
      <c r="G224" s="761">
        <v>31824</v>
      </c>
      <c r="H224" s="761"/>
      <c r="I224" s="761">
        <v>31824</v>
      </c>
      <c r="J224" s="402"/>
      <c r="K224" s="402"/>
      <c r="L224" s="402"/>
      <c r="M224" s="398">
        <f t="shared" si="15"/>
        <v>31824</v>
      </c>
      <c r="N224" s="398"/>
      <c r="O224" s="398">
        <f t="shared" si="17"/>
        <v>31824</v>
      </c>
    </row>
    <row r="225" spans="1:15" ht="15" customHeight="1">
      <c r="A225" s="217"/>
      <c r="B225" s="217"/>
      <c r="C225" s="287" t="s">
        <v>651</v>
      </c>
      <c r="D225" s="615" t="s">
        <v>400</v>
      </c>
      <c r="E225" s="414"/>
      <c r="F225" s="338"/>
      <c r="G225" s="761">
        <v>9000</v>
      </c>
      <c r="H225" s="761"/>
      <c r="I225" s="761">
        <v>9000</v>
      </c>
      <c r="J225" s="402"/>
      <c r="K225" s="402"/>
      <c r="L225" s="402"/>
      <c r="M225" s="398">
        <f t="shared" si="15"/>
        <v>9000</v>
      </c>
      <c r="N225" s="398"/>
      <c r="O225" s="398">
        <f t="shared" si="17"/>
        <v>9000</v>
      </c>
    </row>
    <row r="226" spans="1:15" ht="15" customHeight="1">
      <c r="A226" s="217"/>
      <c r="B226" s="217"/>
      <c r="C226" s="287" t="s">
        <v>652</v>
      </c>
      <c r="D226" s="615" t="s">
        <v>401</v>
      </c>
      <c r="E226" s="414"/>
      <c r="F226" s="338"/>
      <c r="G226" s="761">
        <v>200</v>
      </c>
      <c r="H226" s="761"/>
      <c r="I226" s="761">
        <v>200</v>
      </c>
      <c r="J226" s="402"/>
      <c r="K226" s="402"/>
      <c r="L226" s="402"/>
      <c r="M226" s="398">
        <f t="shared" si="15"/>
        <v>200</v>
      </c>
      <c r="N226" s="398"/>
      <c r="O226" s="398">
        <f t="shared" si="17"/>
        <v>200</v>
      </c>
    </row>
    <row r="227" spans="1:15" ht="24.75" customHeight="1">
      <c r="A227" s="217"/>
      <c r="B227" s="217"/>
      <c r="C227" s="287" t="s">
        <v>653</v>
      </c>
      <c r="D227" s="615" t="s">
        <v>403</v>
      </c>
      <c r="E227" s="414"/>
      <c r="F227" s="338"/>
      <c r="G227" s="761">
        <v>9540</v>
      </c>
      <c r="H227" s="761"/>
      <c r="I227" s="761">
        <v>9540</v>
      </c>
      <c r="J227" s="402"/>
      <c r="K227" s="402"/>
      <c r="L227" s="402"/>
      <c r="M227" s="398">
        <f aca="true" t="shared" si="18" ref="M227:M237">SUM(G227+J227)</f>
        <v>9540</v>
      </c>
      <c r="N227" s="398"/>
      <c r="O227" s="398">
        <f aca="true" t="shared" si="19" ref="O227:O234">SUM(I227+L227)</f>
        <v>9540</v>
      </c>
    </row>
    <row r="228" spans="1:15" ht="15" customHeight="1">
      <c r="A228" s="217"/>
      <c r="B228" s="217"/>
      <c r="C228" s="282" t="s">
        <v>170</v>
      </c>
      <c r="D228" s="339" t="s">
        <v>980</v>
      </c>
      <c r="E228" s="453"/>
      <c r="F228" s="338"/>
      <c r="G228" s="761">
        <v>0</v>
      </c>
      <c r="H228" s="761"/>
      <c r="I228" s="761">
        <v>0</v>
      </c>
      <c r="J228" s="402"/>
      <c r="K228" s="402"/>
      <c r="L228" s="402"/>
      <c r="M228" s="398">
        <f t="shared" si="18"/>
        <v>0</v>
      </c>
      <c r="N228" s="398"/>
      <c r="O228" s="398">
        <f t="shared" si="19"/>
        <v>0</v>
      </c>
    </row>
    <row r="229" spans="1:15" ht="15" customHeight="1">
      <c r="A229" s="217"/>
      <c r="B229" s="217"/>
      <c r="C229" s="287"/>
      <c r="D229" s="499" t="s">
        <v>265</v>
      </c>
      <c r="E229" s="453"/>
      <c r="F229" s="338"/>
      <c r="G229" s="761">
        <v>0</v>
      </c>
      <c r="H229" s="761"/>
      <c r="I229" s="761">
        <v>0</v>
      </c>
      <c r="J229" s="402"/>
      <c r="K229" s="402"/>
      <c r="L229" s="402"/>
      <c r="M229" s="398">
        <f t="shared" si="18"/>
        <v>0</v>
      </c>
      <c r="N229" s="398"/>
      <c r="O229" s="398">
        <f t="shared" si="19"/>
        <v>0</v>
      </c>
    </row>
    <row r="230" spans="1:15" ht="24.75" customHeight="1">
      <c r="A230" s="217"/>
      <c r="B230" s="217"/>
      <c r="C230" s="282" t="s">
        <v>404</v>
      </c>
      <c r="D230" s="341" t="s">
        <v>405</v>
      </c>
      <c r="E230" s="453"/>
      <c r="F230" s="338"/>
      <c r="G230" s="761">
        <v>34553</v>
      </c>
      <c r="H230" s="761"/>
      <c r="I230" s="761">
        <v>34553</v>
      </c>
      <c r="J230" s="402"/>
      <c r="K230" s="402"/>
      <c r="L230" s="402"/>
      <c r="M230" s="398">
        <f t="shared" si="18"/>
        <v>34553</v>
      </c>
      <c r="N230" s="398"/>
      <c r="O230" s="398">
        <f t="shared" si="19"/>
        <v>34553</v>
      </c>
    </row>
    <row r="231" spans="1:15" ht="15" customHeight="1">
      <c r="A231" s="217"/>
      <c r="B231" s="217"/>
      <c r="C231" s="282" t="s">
        <v>173</v>
      </c>
      <c r="D231" s="339" t="s">
        <v>174</v>
      </c>
      <c r="E231" s="340"/>
      <c r="F231" s="338"/>
      <c r="G231" s="761">
        <v>0</v>
      </c>
      <c r="H231" s="761"/>
      <c r="I231" s="761">
        <v>0</v>
      </c>
      <c r="J231" s="402"/>
      <c r="K231" s="402"/>
      <c r="L231" s="402"/>
      <c r="M231" s="398">
        <f t="shared" si="18"/>
        <v>0</v>
      </c>
      <c r="N231" s="398"/>
      <c r="O231" s="398">
        <f t="shared" si="19"/>
        <v>0</v>
      </c>
    </row>
    <row r="232" spans="1:15" ht="15" customHeight="1">
      <c r="A232" s="217"/>
      <c r="B232" s="217"/>
      <c r="C232" s="287" t="s">
        <v>175</v>
      </c>
      <c r="D232" s="337" t="s">
        <v>981</v>
      </c>
      <c r="E232" s="338"/>
      <c r="F232" s="338" t="s">
        <v>1171</v>
      </c>
      <c r="G232" s="761">
        <v>12828</v>
      </c>
      <c r="H232" s="761"/>
      <c r="I232" s="761">
        <v>12828</v>
      </c>
      <c r="J232" s="402">
        <v>3800</v>
      </c>
      <c r="K232" s="402"/>
      <c r="L232" s="402">
        <v>3800</v>
      </c>
      <c r="M232" s="398">
        <f t="shared" si="18"/>
        <v>16628</v>
      </c>
      <c r="N232" s="398"/>
      <c r="O232" s="398">
        <f t="shared" si="19"/>
        <v>16628</v>
      </c>
    </row>
    <row r="233" spans="1:15" ht="24.75" customHeight="1">
      <c r="A233" s="217"/>
      <c r="B233" s="217"/>
      <c r="C233" s="287" t="s">
        <v>176</v>
      </c>
      <c r="D233" s="598" t="s">
        <v>406</v>
      </c>
      <c r="E233" s="338"/>
      <c r="F233" s="403" t="s">
        <v>1171</v>
      </c>
      <c r="G233" s="761">
        <v>22000</v>
      </c>
      <c r="H233" s="761"/>
      <c r="I233" s="761">
        <v>22000</v>
      </c>
      <c r="J233" s="402">
        <v>-12200</v>
      </c>
      <c r="K233" s="402"/>
      <c r="L233" s="402">
        <v>-12200</v>
      </c>
      <c r="M233" s="398">
        <f t="shared" si="18"/>
        <v>9800</v>
      </c>
      <c r="N233" s="398"/>
      <c r="O233" s="398">
        <f t="shared" si="19"/>
        <v>9800</v>
      </c>
    </row>
    <row r="234" spans="1:15" ht="15" customHeight="1">
      <c r="A234" s="217"/>
      <c r="B234" s="217"/>
      <c r="C234" s="287" t="s">
        <v>177</v>
      </c>
      <c r="D234" s="616" t="s">
        <v>407</v>
      </c>
      <c r="E234" s="338" t="s">
        <v>477</v>
      </c>
      <c r="F234" s="402"/>
      <c r="G234" s="761">
        <v>80000</v>
      </c>
      <c r="H234" s="761"/>
      <c r="I234" s="761">
        <v>80000</v>
      </c>
      <c r="J234" s="402"/>
      <c r="K234" s="402"/>
      <c r="L234" s="402"/>
      <c r="M234" s="398">
        <f t="shared" si="18"/>
        <v>80000</v>
      </c>
      <c r="N234" s="398"/>
      <c r="O234" s="398">
        <f t="shared" si="19"/>
        <v>80000</v>
      </c>
    </row>
    <row r="235" spans="1:15" ht="36" customHeight="1">
      <c r="A235" s="217"/>
      <c r="B235" s="217"/>
      <c r="C235" s="287" t="s">
        <v>178</v>
      </c>
      <c r="D235" s="740" t="s">
        <v>1210</v>
      </c>
      <c r="E235" s="338" t="s">
        <v>477</v>
      </c>
      <c r="F235" s="403" t="s">
        <v>656</v>
      </c>
      <c r="G235" s="398">
        <v>24376</v>
      </c>
      <c r="H235" s="398"/>
      <c r="I235" s="398">
        <v>24376</v>
      </c>
      <c r="J235" s="402">
        <v>83118</v>
      </c>
      <c r="K235" s="402"/>
      <c r="L235" s="402">
        <v>83118</v>
      </c>
      <c r="M235" s="398">
        <f t="shared" si="18"/>
        <v>107494</v>
      </c>
      <c r="N235" s="398"/>
      <c r="O235" s="398">
        <f aca="true" t="shared" si="20" ref="O235:O243">SUM(I235+L235)</f>
        <v>107494</v>
      </c>
    </row>
    <row r="236" spans="1:15" ht="15" customHeight="1">
      <c r="A236" s="217"/>
      <c r="B236" s="217"/>
      <c r="C236" s="287" t="s">
        <v>351</v>
      </c>
      <c r="D236" s="616" t="s">
        <v>408</v>
      </c>
      <c r="E236" s="338"/>
      <c r="F236" s="403"/>
      <c r="G236" s="761">
        <v>10468</v>
      </c>
      <c r="H236" s="761"/>
      <c r="I236" s="761">
        <v>10468</v>
      </c>
      <c r="J236" s="402"/>
      <c r="K236" s="402"/>
      <c r="L236" s="402"/>
      <c r="M236" s="398">
        <f t="shared" si="18"/>
        <v>10468</v>
      </c>
      <c r="N236" s="398"/>
      <c r="O236" s="398">
        <f t="shared" si="20"/>
        <v>10468</v>
      </c>
    </row>
    <row r="237" spans="1:15" ht="15" customHeight="1">
      <c r="A237" s="217"/>
      <c r="B237" s="217"/>
      <c r="C237" s="287" t="s">
        <v>353</v>
      </c>
      <c r="D237" s="508" t="s">
        <v>409</v>
      </c>
      <c r="E237" s="338"/>
      <c r="F237" s="403"/>
      <c r="G237" s="761">
        <v>17000</v>
      </c>
      <c r="H237" s="761"/>
      <c r="I237" s="761">
        <v>17000</v>
      </c>
      <c r="J237" s="402"/>
      <c r="K237" s="402"/>
      <c r="L237" s="402"/>
      <c r="M237" s="398">
        <f t="shared" si="18"/>
        <v>17000</v>
      </c>
      <c r="N237" s="398"/>
      <c r="O237" s="398">
        <f t="shared" si="20"/>
        <v>17000</v>
      </c>
    </row>
    <row r="238" spans="1:15" ht="15" customHeight="1">
      <c r="A238" s="217"/>
      <c r="B238" s="217"/>
      <c r="C238" s="287" t="s">
        <v>355</v>
      </c>
      <c r="D238" s="617" t="s">
        <v>410</v>
      </c>
      <c r="E238" s="338"/>
      <c r="F238" s="403" t="s">
        <v>656</v>
      </c>
      <c r="G238" s="761">
        <v>60868</v>
      </c>
      <c r="H238" s="761"/>
      <c r="I238" s="761">
        <v>60868</v>
      </c>
      <c r="J238" s="402">
        <v>-60868</v>
      </c>
      <c r="K238" s="402">
        <v>60868</v>
      </c>
      <c r="L238" s="402"/>
      <c r="M238" s="398">
        <f aca="true" t="shared" si="21" ref="M238:M243">SUM(G238+J238)</f>
        <v>0</v>
      </c>
      <c r="N238" s="398">
        <v>60868</v>
      </c>
      <c r="O238" s="398">
        <f t="shared" si="20"/>
        <v>60868</v>
      </c>
    </row>
    <row r="239" spans="1:15" ht="15" customHeight="1">
      <c r="A239" s="217"/>
      <c r="B239" s="217"/>
      <c r="C239" s="287" t="s">
        <v>357</v>
      </c>
      <c r="D239" s="605" t="s">
        <v>411</v>
      </c>
      <c r="E239" s="338"/>
      <c r="F239" s="338"/>
      <c r="G239" s="761">
        <v>5000</v>
      </c>
      <c r="H239" s="761"/>
      <c r="I239" s="761">
        <v>5000</v>
      </c>
      <c r="J239" s="402"/>
      <c r="K239" s="402"/>
      <c r="L239" s="402"/>
      <c r="M239" s="398">
        <f t="shared" si="21"/>
        <v>5000</v>
      </c>
      <c r="N239" s="398"/>
      <c r="O239" s="398">
        <f t="shared" si="20"/>
        <v>5000</v>
      </c>
    </row>
    <row r="240" spans="1:15" ht="15" customHeight="1">
      <c r="A240" s="217"/>
      <c r="B240" s="217"/>
      <c r="C240" s="287" t="s">
        <v>359</v>
      </c>
      <c r="D240" s="606" t="s">
        <v>412</v>
      </c>
      <c r="E240" s="338"/>
      <c r="F240" s="338" t="s">
        <v>1171</v>
      </c>
      <c r="G240" s="761">
        <v>5000</v>
      </c>
      <c r="H240" s="761"/>
      <c r="I240" s="761">
        <v>5000</v>
      </c>
      <c r="J240" s="402">
        <v>-3340</v>
      </c>
      <c r="K240" s="402"/>
      <c r="L240" s="402">
        <v>-3340</v>
      </c>
      <c r="M240" s="398">
        <f t="shared" si="21"/>
        <v>1660</v>
      </c>
      <c r="N240" s="398"/>
      <c r="O240" s="398">
        <f t="shared" si="20"/>
        <v>1660</v>
      </c>
    </row>
    <row r="241" spans="1:15" ht="15" customHeight="1">
      <c r="A241" s="217"/>
      <c r="B241" s="217"/>
      <c r="C241" s="287"/>
      <c r="D241" s="499" t="s">
        <v>265</v>
      </c>
      <c r="E241" s="338"/>
      <c r="F241" s="338"/>
      <c r="G241" s="761">
        <v>0</v>
      </c>
      <c r="H241" s="761"/>
      <c r="I241" s="761">
        <v>0</v>
      </c>
      <c r="J241" s="402"/>
      <c r="K241" s="402"/>
      <c r="L241" s="402"/>
      <c r="M241" s="398">
        <f t="shared" si="21"/>
        <v>0</v>
      </c>
      <c r="N241" s="398"/>
      <c r="O241" s="398">
        <f t="shared" si="20"/>
        <v>0</v>
      </c>
    </row>
    <row r="242" spans="1:15" ht="15" customHeight="1">
      <c r="A242" s="217"/>
      <c r="B242" s="217"/>
      <c r="C242" s="287" t="s">
        <v>982</v>
      </c>
      <c r="D242" s="618" t="s">
        <v>413</v>
      </c>
      <c r="E242" s="338"/>
      <c r="F242" s="338"/>
      <c r="G242" s="761">
        <v>8000</v>
      </c>
      <c r="H242" s="761"/>
      <c r="I242" s="761">
        <v>8000</v>
      </c>
      <c r="J242" s="402"/>
      <c r="K242" s="402"/>
      <c r="L242" s="402"/>
      <c r="M242" s="398">
        <f t="shared" si="21"/>
        <v>8000</v>
      </c>
      <c r="N242" s="398"/>
      <c r="O242" s="398">
        <f t="shared" si="20"/>
        <v>8000</v>
      </c>
    </row>
    <row r="243" spans="1:15" ht="15" customHeight="1">
      <c r="A243" s="217"/>
      <c r="B243" s="217"/>
      <c r="C243" s="287" t="s">
        <v>637</v>
      </c>
      <c r="D243" s="512" t="s">
        <v>640</v>
      </c>
      <c r="E243" s="338"/>
      <c r="F243" s="338"/>
      <c r="G243" s="761">
        <v>1750</v>
      </c>
      <c r="H243" s="761"/>
      <c r="I243" s="761">
        <v>1750</v>
      </c>
      <c r="J243" s="402"/>
      <c r="K243" s="402"/>
      <c r="L243" s="402"/>
      <c r="M243" s="398">
        <f t="shared" si="21"/>
        <v>1750</v>
      </c>
      <c r="N243" s="398"/>
      <c r="O243" s="398">
        <f t="shared" si="20"/>
        <v>1750</v>
      </c>
    </row>
    <row r="244" spans="1:15" ht="15" customHeight="1">
      <c r="A244" s="196"/>
      <c r="B244" s="196"/>
      <c r="C244" s="197"/>
      <c r="D244" s="351" t="s">
        <v>507</v>
      </c>
      <c r="E244" s="361"/>
      <c r="F244" s="361"/>
      <c r="G244" s="199">
        <f aca="true" t="shared" si="22" ref="G244:O244">SUM(G142:G243)</f>
        <v>2100412</v>
      </c>
      <c r="H244" s="199">
        <f t="shared" si="22"/>
        <v>46010</v>
      </c>
      <c r="I244" s="199">
        <f t="shared" si="22"/>
        <v>2146422</v>
      </c>
      <c r="J244" s="619">
        <f t="shared" si="22"/>
        <v>244557</v>
      </c>
      <c r="K244" s="619">
        <f t="shared" si="22"/>
        <v>60868</v>
      </c>
      <c r="L244" s="619">
        <f t="shared" si="22"/>
        <v>305425</v>
      </c>
      <c r="M244" s="619">
        <f t="shared" si="22"/>
        <v>2344969</v>
      </c>
      <c r="N244" s="619">
        <f t="shared" si="22"/>
        <v>106878</v>
      </c>
      <c r="O244" s="619">
        <f t="shared" si="22"/>
        <v>2451847</v>
      </c>
    </row>
    <row r="245" spans="1:15" ht="15" customHeight="1">
      <c r="A245" s="404">
        <v>1</v>
      </c>
      <c r="B245" s="404">
        <v>17</v>
      </c>
      <c r="C245" s="238"/>
      <c r="D245" s="357" t="s">
        <v>197</v>
      </c>
      <c r="E245" s="359"/>
      <c r="F245" s="239"/>
      <c r="G245" s="761"/>
      <c r="H245" s="761"/>
      <c r="I245" s="761"/>
      <c r="J245" s="697"/>
      <c r="K245" s="697"/>
      <c r="L245" s="697"/>
      <c r="M245" s="398"/>
      <c r="N245" s="398"/>
      <c r="O245" s="398"/>
    </row>
    <row r="246" spans="1:15" ht="24.75" customHeight="1">
      <c r="A246" s="194"/>
      <c r="B246" s="194"/>
      <c r="C246" s="284" t="s">
        <v>1008</v>
      </c>
      <c r="D246" s="341" t="s">
        <v>414</v>
      </c>
      <c r="E246" s="338"/>
      <c r="F246" s="403" t="s">
        <v>1171</v>
      </c>
      <c r="G246" s="761">
        <v>157000</v>
      </c>
      <c r="H246" s="761"/>
      <c r="I246" s="761">
        <v>157000</v>
      </c>
      <c r="J246" s="398">
        <v>-11157</v>
      </c>
      <c r="K246" s="398"/>
      <c r="L246" s="398">
        <v>-11157</v>
      </c>
      <c r="M246" s="398">
        <f aca="true" t="shared" si="23" ref="M246:M257">SUM(G246+J246)</f>
        <v>145843</v>
      </c>
      <c r="N246" s="398"/>
      <c r="O246" s="398">
        <f aca="true" t="shared" si="24" ref="O246:O257">SUM(I246+L246)</f>
        <v>145843</v>
      </c>
    </row>
    <row r="247" spans="1:15" ht="15" customHeight="1">
      <c r="A247" s="194"/>
      <c r="B247" s="194"/>
      <c r="C247" s="284" t="s">
        <v>120</v>
      </c>
      <c r="D247" s="615" t="s">
        <v>415</v>
      </c>
      <c r="E247" s="338"/>
      <c r="F247" s="756"/>
      <c r="G247" s="761">
        <v>7800</v>
      </c>
      <c r="H247" s="761"/>
      <c r="I247" s="761">
        <v>7800</v>
      </c>
      <c r="J247" s="398"/>
      <c r="K247" s="398"/>
      <c r="L247" s="398"/>
      <c r="M247" s="398">
        <f t="shared" si="23"/>
        <v>7800</v>
      </c>
      <c r="N247" s="398"/>
      <c r="O247" s="398">
        <f t="shared" si="24"/>
        <v>7800</v>
      </c>
    </row>
    <row r="248" spans="1:15" ht="15" customHeight="1">
      <c r="A248" s="194"/>
      <c r="B248" s="194"/>
      <c r="C248" s="284" t="s">
        <v>122</v>
      </c>
      <c r="D248" s="615" t="s">
        <v>1211</v>
      </c>
      <c r="E248" s="338"/>
      <c r="F248" s="756" t="s">
        <v>656</v>
      </c>
      <c r="G248" s="761"/>
      <c r="H248" s="761"/>
      <c r="I248" s="761"/>
      <c r="J248" s="398">
        <v>12500</v>
      </c>
      <c r="K248" s="398"/>
      <c r="L248" s="398">
        <v>12500</v>
      </c>
      <c r="M248" s="398">
        <f t="shared" si="23"/>
        <v>12500</v>
      </c>
      <c r="N248" s="398"/>
      <c r="O248" s="398">
        <f t="shared" si="24"/>
        <v>12500</v>
      </c>
    </row>
    <row r="249" spans="1:15" ht="15" customHeight="1">
      <c r="A249" s="194"/>
      <c r="B249" s="194"/>
      <c r="C249" s="284"/>
      <c r="D249" s="499" t="s">
        <v>265</v>
      </c>
      <c r="E249" s="338"/>
      <c r="F249" s="461"/>
      <c r="G249" s="761"/>
      <c r="H249" s="761"/>
      <c r="I249" s="761"/>
      <c r="J249" s="398"/>
      <c r="K249" s="398"/>
      <c r="L249" s="398"/>
      <c r="M249" s="398"/>
      <c r="N249" s="398"/>
      <c r="O249" s="398"/>
    </row>
    <row r="250" spans="1:15" ht="24.75" customHeight="1">
      <c r="A250" s="194"/>
      <c r="B250" s="194"/>
      <c r="C250" s="284" t="s">
        <v>416</v>
      </c>
      <c r="D250" s="341" t="s">
        <v>655</v>
      </c>
      <c r="E250" s="338"/>
      <c r="F250" s="461"/>
      <c r="G250" s="761">
        <v>24096</v>
      </c>
      <c r="H250" s="761"/>
      <c r="I250" s="761">
        <v>24096</v>
      </c>
      <c r="J250" s="398"/>
      <c r="K250" s="398"/>
      <c r="L250" s="398"/>
      <c r="M250" s="398">
        <f t="shared" si="23"/>
        <v>24096</v>
      </c>
      <c r="N250" s="398"/>
      <c r="O250" s="398">
        <f t="shared" si="24"/>
        <v>24096</v>
      </c>
    </row>
    <row r="251" spans="1:15" ht="24.75" customHeight="1">
      <c r="A251" s="194"/>
      <c r="B251" s="194"/>
      <c r="C251" s="284" t="s">
        <v>417</v>
      </c>
      <c r="D251" s="341" t="s">
        <v>641</v>
      </c>
      <c r="E251" s="338"/>
      <c r="F251" s="756" t="s">
        <v>1171</v>
      </c>
      <c r="G251" s="761">
        <v>21074</v>
      </c>
      <c r="H251" s="761"/>
      <c r="I251" s="761">
        <v>21074</v>
      </c>
      <c r="J251" s="398">
        <v>11157</v>
      </c>
      <c r="K251" s="398"/>
      <c r="L251" s="398">
        <v>11157</v>
      </c>
      <c r="M251" s="398">
        <f t="shared" si="23"/>
        <v>32231</v>
      </c>
      <c r="N251" s="398"/>
      <c r="O251" s="398">
        <f t="shared" si="24"/>
        <v>32231</v>
      </c>
    </row>
    <row r="252" spans="1:15" ht="24.75" customHeight="1">
      <c r="A252" s="194"/>
      <c r="B252" s="194"/>
      <c r="C252" s="284" t="s">
        <v>418</v>
      </c>
      <c r="D252" s="457" t="s">
        <v>660</v>
      </c>
      <c r="E252" s="338"/>
      <c r="F252" s="338"/>
      <c r="G252" s="761">
        <v>40000</v>
      </c>
      <c r="H252" s="761"/>
      <c r="I252" s="761">
        <v>40000</v>
      </c>
      <c r="J252" s="398"/>
      <c r="K252" s="398"/>
      <c r="L252" s="398"/>
      <c r="M252" s="398">
        <f t="shared" si="23"/>
        <v>40000</v>
      </c>
      <c r="N252" s="398"/>
      <c r="O252" s="398">
        <f t="shared" si="24"/>
        <v>40000</v>
      </c>
    </row>
    <row r="253" spans="1:15" ht="15" customHeight="1">
      <c r="A253" s="196"/>
      <c r="B253" s="196"/>
      <c r="C253" s="197"/>
      <c r="D253" s="351" t="s">
        <v>449</v>
      </c>
      <c r="E253" s="361"/>
      <c r="F253" s="361"/>
      <c r="G253" s="199">
        <f aca="true" t="shared" si="25" ref="G253:L253">SUM(G246:G252)</f>
        <v>249970</v>
      </c>
      <c r="H253" s="199">
        <f t="shared" si="25"/>
        <v>0</v>
      </c>
      <c r="I253" s="199">
        <f t="shared" si="25"/>
        <v>249970</v>
      </c>
      <c r="J253" s="619">
        <f t="shared" si="25"/>
        <v>12500</v>
      </c>
      <c r="K253" s="619">
        <f t="shared" si="25"/>
        <v>0</v>
      </c>
      <c r="L253" s="619">
        <f t="shared" si="25"/>
        <v>12500</v>
      </c>
      <c r="M253" s="619">
        <f t="shared" si="23"/>
        <v>262470</v>
      </c>
      <c r="N253" s="619">
        <f>SUM(H253+K253)</f>
        <v>0</v>
      </c>
      <c r="O253" s="619">
        <f t="shared" si="24"/>
        <v>262470</v>
      </c>
    </row>
    <row r="254" spans="1:15" ht="15" customHeight="1">
      <c r="A254" s="215">
        <v>1</v>
      </c>
      <c r="B254" s="215">
        <v>18</v>
      </c>
      <c r="C254" s="213"/>
      <c r="D254" s="353" t="s">
        <v>179</v>
      </c>
      <c r="E254" s="364"/>
      <c r="F254" s="364"/>
      <c r="G254" s="761">
        <v>0</v>
      </c>
      <c r="H254" s="761"/>
      <c r="I254" s="761">
        <v>0</v>
      </c>
      <c r="J254" s="405"/>
      <c r="K254" s="405"/>
      <c r="L254" s="405"/>
      <c r="M254" s="400">
        <f t="shared" si="23"/>
        <v>0</v>
      </c>
      <c r="N254" s="400"/>
      <c r="O254" s="400">
        <f t="shared" si="24"/>
        <v>0</v>
      </c>
    </row>
    <row r="255" spans="1:15" ht="15" customHeight="1">
      <c r="A255" s="215"/>
      <c r="B255" s="215"/>
      <c r="C255" s="213" t="s">
        <v>1008</v>
      </c>
      <c r="D255" s="782" t="s">
        <v>13</v>
      </c>
      <c r="E255" s="364"/>
      <c r="F255" s="364" t="s">
        <v>696</v>
      </c>
      <c r="G255" s="761"/>
      <c r="H255" s="761"/>
      <c r="I255" s="761"/>
      <c r="J255" s="400">
        <v>255</v>
      </c>
      <c r="K255" s="400"/>
      <c r="L255" s="400">
        <v>255</v>
      </c>
      <c r="M255" s="400">
        <v>255</v>
      </c>
      <c r="N255" s="400"/>
      <c r="O255" s="400">
        <v>255</v>
      </c>
    </row>
    <row r="256" spans="1:15" ht="15" customHeight="1">
      <c r="A256" s="215"/>
      <c r="B256" s="215"/>
      <c r="C256" s="285"/>
      <c r="D256" s="499" t="s">
        <v>265</v>
      </c>
      <c r="E256" s="364"/>
      <c r="F256" s="364"/>
      <c r="G256" s="761"/>
      <c r="H256" s="761"/>
      <c r="I256" s="761"/>
      <c r="J256" s="405"/>
      <c r="K256" s="405"/>
      <c r="L256" s="405"/>
      <c r="M256" s="400"/>
      <c r="N256" s="400"/>
      <c r="O256" s="400"/>
    </row>
    <row r="257" spans="1:15" ht="15" customHeight="1">
      <c r="A257" s="215"/>
      <c r="B257" s="215"/>
      <c r="C257" s="285" t="s">
        <v>416</v>
      </c>
      <c r="D257" s="334" t="s">
        <v>419</v>
      </c>
      <c r="E257" s="474"/>
      <c r="F257" s="401" t="s">
        <v>656</v>
      </c>
      <c r="G257" s="761">
        <v>1220</v>
      </c>
      <c r="H257" s="761"/>
      <c r="I257" s="761">
        <v>1220</v>
      </c>
      <c r="J257" s="400">
        <v>-1220</v>
      </c>
      <c r="K257" s="400"/>
      <c r="L257" s="400">
        <v>-1220</v>
      </c>
      <c r="M257" s="400">
        <f t="shared" si="23"/>
        <v>0</v>
      </c>
      <c r="N257" s="400"/>
      <c r="O257" s="400">
        <f t="shared" si="24"/>
        <v>0</v>
      </c>
    </row>
    <row r="258" spans="1:15" ht="15" customHeight="1">
      <c r="A258" s="196"/>
      <c r="B258" s="196"/>
      <c r="C258" s="197"/>
      <c r="D258" s="351" t="s">
        <v>450</v>
      </c>
      <c r="E258" s="361"/>
      <c r="F258" s="361"/>
      <c r="G258" s="199">
        <f>SUM(G257)</f>
        <v>1220</v>
      </c>
      <c r="H258" s="199"/>
      <c r="I258" s="199">
        <f>SUM(I257)</f>
        <v>1220</v>
      </c>
      <c r="J258" s="619">
        <f aca="true" t="shared" si="26" ref="J258:O258">SUM(J255:J257)</f>
        <v>-965</v>
      </c>
      <c r="K258" s="619">
        <f t="shared" si="26"/>
        <v>0</v>
      </c>
      <c r="L258" s="619">
        <f t="shared" si="26"/>
        <v>-965</v>
      </c>
      <c r="M258" s="619">
        <f t="shared" si="26"/>
        <v>255</v>
      </c>
      <c r="N258" s="619">
        <f t="shared" si="26"/>
        <v>0</v>
      </c>
      <c r="O258" s="619">
        <f t="shared" si="26"/>
        <v>255</v>
      </c>
    </row>
    <row r="259" spans="1:15" ht="12.75">
      <c r="A259" s="192">
        <v>1</v>
      </c>
      <c r="B259" s="192">
        <v>19</v>
      </c>
      <c r="C259" s="195"/>
      <c r="D259" s="350" t="s">
        <v>198</v>
      </c>
      <c r="E259" s="360"/>
      <c r="F259" s="360"/>
      <c r="G259" s="761"/>
      <c r="H259" s="761"/>
      <c r="I259" s="761"/>
      <c r="J259" s="398"/>
      <c r="K259" s="398"/>
      <c r="L259" s="398"/>
      <c r="M259" s="400"/>
      <c r="N259" s="398"/>
      <c r="O259" s="398"/>
    </row>
    <row r="260" spans="1:15" ht="13.5" customHeight="1">
      <c r="A260" s="192"/>
      <c r="B260" s="192"/>
      <c r="C260" s="284" t="s">
        <v>1008</v>
      </c>
      <c r="D260" s="333" t="s">
        <v>420</v>
      </c>
      <c r="E260" s="360"/>
      <c r="F260" s="363"/>
      <c r="G260" s="761"/>
      <c r="H260" s="761">
        <v>3000</v>
      </c>
      <c r="I260" s="761">
        <v>3000</v>
      </c>
      <c r="J260" s="398"/>
      <c r="K260" s="398"/>
      <c r="L260" s="398"/>
      <c r="M260" s="400"/>
      <c r="N260" s="398">
        <f>SUM(H260+K260)</f>
        <v>3000</v>
      </c>
      <c r="O260" s="398">
        <f>SUM(I260+L260)</f>
        <v>3000</v>
      </c>
    </row>
    <row r="261" spans="1:15" ht="12.75">
      <c r="A261" s="194"/>
      <c r="B261" s="194"/>
      <c r="C261" s="284" t="s">
        <v>120</v>
      </c>
      <c r="D261" s="333" t="s">
        <v>421</v>
      </c>
      <c r="E261" s="343"/>
      <c r="F261" s="398"/>
      <c r="G261" s="761"/>
      <c r="H261" s="761">
        <v>5000</v>
      </c>
      <c r="I261" s="761">
        <v>5000</v>
      </c>
      <c r="J261" s="398"/>
      <c r="K261" s="398"/>
      <c r="L261" s="398"/>
      <c r="M261" s="400"/>
      <c r="N261" s="398">
        <f>SUM(H261+K261)</f>
        <v>5000</v>
      </c>
      <c r="O261" s="398">
        <f>SUM(I261+L261)</f>
        <v>5000</v>
      </c>
    </row>
    <row r="262" spans="1:15" ht="24.75" customHeight="1">
      <c r="A262" s="194"/>
      <c r="B262" s="194"/>
      <c r="C262" s="284" t="s">
        <v>122</v>
      </c>
      <c r="D262" s="454" t="s">
        <v>471</v>
      </c>
      <c r="E262" s="343"/>
      <c r="F262" s="466"/>
      <c r="G262" s="761"/>
      <c r="H262" s="398">
        <v>8200</v>
      </c>
      <c r="I262" s="398">
        <v>8200</v>
      </c>
      <c r="J262" s="398"/>
      <c r="K262" s="398"/>
      <c r="L262" s="398"/>
      <c r="M262" s="400"/>
      <c r="N262" s="398">
        <v>8200</v>
      </c>
      <c r="O262" s="398">
        <v>8200</v>
      </c>
    </row>
    <row r="263" spans="1:15" ht="12.75">
      <c r="A263" s="194"/>
      <c r="B263" s="194"/>
      <c r="C263" s="284" t="s">
        <v>124</v>
      </c>
      <c r="D263" s="333" t="s">
        <v>889</v>
      </c>
      <c r="E263" s="343"/>
      <c r="F263" s="466" t="s">
        <v>696</v>
      </c>
      <c r="G263" s="761"/>
      <c r="H263" s="761"/>
      <c r="I263" s="761"/>
      <c r="J263" s="398"/>
      <c r="K263" s="398">
        <v>500</v>
      </c>
      <c r="L263" s="398">
        <v>500</v>
      </c>
      <c r="M263" s="400"/>
      <c r="N263" s="398">
        <v>500</v>
      </c>
      <c r="O263" s="398">
        <v>500</v>
      </c>
    </row>
    <row r="264" spans="1:15" ht="13.5">
      <c r="A264" s="196"/>
      <c r="B264" s="196"/>
      <c r="C264" s="197"/>
      <c r="D264" s="351" t="s">
        <v>199</v>
      </c>
      <c r="E264" s="361"/>
      <c r="F264" s="361"/>
      <c r="G264" s="199">
        <f>SUM(G260:G261)</f>
        <v>0</v>
      </c>
      <c r="H264" s="199">
        <f>SUM(H260:H262)</f>
        <v>16200</v>
      </c>
      <c r="I264" s="199">
        <f>SUM(I260:I262)</f>
        <v>16200</v>
      </c>
      <c r="J264" s="619">
        <f aca="true" t="shared" si="27" ref="J264:O264">SUM(J260:J263)</f>
        <v>0</v>
      </c>
      <c r="K264" s="619">
        <f t="shared" si="27"/>
        <v>500</v>
      </c>
      <c r="L264" s="619">
        <f t="shared" si="27"/>
        <v>500</v>
      </c>
      <c r="M264" s="619">
        <f t="shared" si="27"/>
        <v>0</v>
      </c>
      <c r="N264" s="619">
        <f t="shared" si="27"/>
        <v>16700</v>
      </c>
      <c r="O264" s="619">
        <f t="shared" si="27"/>
        <v>16700</v>
      </c>
    </row>
    <row r="265" spans="1:15" s="274" customFormat="1" ht="13.5">
      <c r="A265" s="215">
        <v>1</v>
      </c>
      <c r="B265" s="215">
        <v>22</v>
      </c>
      <c r="C265" s="213"/>
      <c r="D265" s="353" t="s">
        <v>93</v>
      </c>
      <c r="E265" s="364"/>
      <c r="F265" s="364"/>
      <c r="G265" s="762">
        <v>0</v>
      </c>
      <c r="H265" s="762">
        <v>0</v>
      </c>
      <c r="I265" s="762">
        <v>0</v>
      </c>
      <c r="J265" s="405"/>
      <c r="K265" s="405"/>
      <c r="L265" s="405"/>
      <c r="M265" s="400">
        <f aca="true" t="shared" si="28" ref="M265:O267">SUM(G265+J265)</f>
        <v>0</v>
      </c>
      <c r="N265" s="400">
        <f t="shared" si="28"/>
        <v>0</v>
      </c>
      <c r="O265" s="400">
        <f t="shared" si="28"/>
        <v>0</v>
      </c>
    </row>
    <row r="266" spans="1:15" s="274" customFormat="1" ht="15" customHeight="1">
      <c r="A266" s="215"/>
      <c r="B266" s="215"/>
      <c r="C266" s="284" t="s">
        <v>1008</v>
      </c>
      <c r="D266" s="458" t="s">
        <v>633</v>
      </c>
      <c r="E266" s="475"/>
      <c r="F266" s="400"/>
      <c r="G266" s="762">
        <v>300000</v>
      </c>
      <c r="H266" s="762">
        <v>0</v>
      </c>
      <c r="I266" s="762">
        <v>300000</v>
      </c>
      <c r="J266" s="400"/>
      <c r="K266" s="400"/>
      <c r="L266" s="400"/>
      <c r="M266" s="400">
        <f t="shared" si="28"/>
        <v>300000</v>
      </c>
      <c r="N266" s="400">
        <f t="shared" si="28"/>
        <v>0</v>
      </c>
      <c r="O266" s="400">
        <f t="shared" si="28"/>
        <v>300000</v>
      </c>
    </row>
    <row r="267" spans="1:15" s="274" customFormat="1" ht="24.75" customHeight="1">
      <c r="A267" s="215"/>
      <c r="B267" s="215"/>
      <c r="C267" s="213" t="s">
        <v>120</v>
      </c>
      <c r="D267" s="457" t="s">
        <v>1212</v>
      </c>
      <c r="E267" s="475"/>
      <c r="F267" s="400" t="s">
        <v>656</v>
      </c>
      <c r="G267" s="762">
        <v>0</v>
      </c>
      <c r="H267" s="762"/>
      <c r="I267" s="762">
        <v>0</v>
      </c>
      <c r="J267" s="400"/>
      <c r="K267" s="400">
        <v>150</v>
      </c>
      <c r="L267" s="400">
        <v>150</v>
      </c>
      <c r="M267" s="400">
        <f>SUM(G267+J267)</f>
        <v>0</v>
      </c>
      <c r="N267" s="400">
        <f t="shared" si="28"/>
        <v>150</v>
      </c>
      <c r="O267" s="400">
        <f t="shared" si="28"/>
        <v>150</v>
      </c>
    </row>
    <row r="268" spans="1:15" s="274" customFormat="1" ht="13.5">
      <c r="A268" s="196"/>
      <c r="B268" s="196"/>
      <c r="C268" s="197"/>
      <c r="D268" s="351" t="s">
        <v>94</v>
      </c>
      <c r="E268" s="361"/>
      <c r="F268" s="361"/>
      <c r="G268" s="199">
        <f>SUM(G266:G266)</f>
        <v>300000</v>
      </c>
      <c r="H268" s="199">
        <f>SUM(H266:H266)</f>
        <v>0</v>
      </c>
      <c r="I268" s="199">
        <f>SUM(I266:I266)</f>
        <v>300000</v>
      </c>
      <c r="J268" s="619">
        <f aca="true" t="shared" si="29" ref="J268:O268">SUM(J266:J267)</f>
        <v>0</v>
      </c>
      <c r="K268" s="619">
        <f t="shared" si="29"/>
        <v>150</v>
      </c>
      <c r="L268" s="619">
        <f t="shared" si="29"/>
        <v>150</v>
      </c>
      <c r="M268" s="619">
        <f t="shared" si="29"/>
        <v>300000</v>
      </c>
      <c r="N268" s="619">
        <f t="shared" si="29"/>
        <v>150</v>
      </c>
      <c r="O268" s="619">
        <f t="shared" si="29"/>
        <v>300150</v>
      </c>
    </row>
    <row r="269" spans="1:15" ht="12.75">
      <c r="A269" s="192">
        <v>1</v>
      </c>
      <c r="B269" s="192">
        <v>3</v>
      </c>
      <c r="C269" s="195"/>
      <c r="D269" s="350" t="s">
        <v>456</v>
      </c>
      <c r="E269" s="360"/>
      <c r="F269" s="360"/>
      <c r="G269" s="761">
        <v>0</v>
      </c>
      <c r="H269" s="761">
        <v>0</v>
      </c>
      <c r="I269" s="761">
        <v>0</v>
      </c>
      <c r="J269" s="398"/>
      <c r="K269" s="398"/>
      <c r="L269" s="398"/>
      <c r="M269" s="398">
        <f aca="true" t="shared" si="30" ref="M269:O271">SUM(G269+J269)</f>
        <v>0</v>
      </c>
      <c r="N269" s="398">
        <f t="shared" si="30"/>
        <v>0</v>
      </c>
      <c r="O269" s="398">
        <f t="shared" si="30"/>
        <v>0</v>
      </c>
    </row>
    <row r="270" spans="1:15" ht="15" customHeight="1">
      <c r="A270" s="192"/>
      <c r="B270" s="192"/>
      <c r="C270" s="286"/>
      <c r="D270" s="499" t="s">
        <v>265</v>
      </c>
      <c r="E270" s="331"/>
      <c r="F270" s="331"/>
      <c r="G270" s="761">
        <v>0</v>
      </c>
      <c r="H270" s="761"/>
      <c r="I270" s="761">
        <v>0</v>
      </c>
      <c r="J270" s="398"/>
      <c r="K270" s="398"/>
      <c r="L270" s="398"/>
      <c r="M270" s="398">
        <f t="shared" si="30"/>
        <v>0</v>
      </c>
      <c r="N270" s="398"/>
      <c r="O270" s="398">
        <f t="shared" si="30"/>
        <v>0</v>
      </c>
    </row>
    <row r="271" spans="1:15" ht="15" customHeight="1">
      <c r="A271" s="192"/>
      <c r="B271" s="192"/>
      <c r="C271" s="286" t="s">
        <v>677</v>
      </c>
      <c r="D271" s="622" t="s">
        <v>422</v>
      </c>
      <c r="E271" s="360"/>
      <c r="F271" s="363"/>
      <c r="G271" s="761">
        <v>18163</v>
      </c>
      <c r="H271" s="761"/>
      <c r="I271" s="761">
        <v>18163</v>
      </c>
      <c r="J271" s="398"/>
      <c r="K271" s="398"/>
      <c r="L271" s="398"/>
      <c r="M271" s="398">
        <f t="shared" si="30"/>
        <v>18163</v>
      </c>
      <c r="N271" s="398"/>
      <c r="O271" s="398">
        <f t="shared" si="30"/>
        <v>18163</v>
      </c>
    </row>
    <row r="272" spans="1:15" ht="12" customHeight="1">
      <c r="A272" s="218"/>
      <c r="B272" s="218"/>
      <c r="C272" s="219"/>
      <c r="D272" s="358" t="s">
        <v>474</v>
      </c>
      <c r="E272" s="368"/>
      <c r="F272" s="368"/>
      <c r="G272" s="220">
        <f aca="true" t="shared" si="31" ref="G272:L272">SUM(G269:G271)</f>
        <v>18163</v>
      </c>
      <c r="H272" s="220">
        <f t="shared" si="31"/>
        <v>0</v>
      </c>
      <c r="I272" s="220">
        <f t="shared" si="31"/>
        <v>18163</v>
      </c>
      <c r="J272" s="621">
        <f t="shared" si="31"/>
        <v>0</v>
      </c>
      <c r="K272" s="621">
        <f t="shared" si="31"/>
        <v>0</v>
      </c>
      <c r="L272" s="621">
        <f t="shared" si="31"/>
        <v>0</v>
      </c>
      <c r="M272" s="619">
        <f>SUM(G272+J272)</f>
        <v>18163</v>
      </c>
      <c r="N272" s="619">
        <f>SUM(H272+K272)</f>
        <v>0</v>
      </c>
      <c r="O272" s="619">
        <f>SUM(I272+L272)</f>
        <v>18163</v>
      </c>
    </row>
    <row r="273" spans="1:15" ht="13.5">
      <c r="A273" s="221"/>
      <c r="B273" s="221"/>
      <c r="C273" s="222"/>
      <c r="D273" s="542" t="s">
        <v>611</v>
      </c>
      <c r="E273" s="368"/>
      <c r="F273" s="368"/>
      <c r="G273" s="220">
        <f aca="true" t="shared" si="32" ref="G273:O273">SUM(G16+G36+G44+G140+G244+G253+G264+G258+G268+G272)</f>
        <v>3378683</v>
      </c>
      <c r="H273" s="220">
        <f t="shared" si="32"/>
        <v>68867</v>
      </c>
      <c r="I273" s="220">
        <f t="shared" si="32"/>
        <v>3447550</v>
      </c>
      <c r="J273" s="220">
        <f t="shared" si="32"/>
        <v>270749</v>
      </c>
      <c r="K273" s="220">
        <f t="shared" si="32"/>
        <v>76486</v>
      </c>
      <c r="L273" s="220">
        <f t="shared" si="32"/>
        <v>347235</v>
      </c>
      <c r="M273" s="220">
        <f t="shared" si="32"/>
        <v>3649432</v>
      </c>
      <c r="N273" s="220">
        <f t="shared" si="32"/>
        <v>145353</v>
      </c>
      <c r="O273" s="220">
        <f t="shared" si="32"/>
        <v>3794785</v>
      </c>
    </row>
    <row r="274" spans="1:15" ht="13.5">
      <c r="A274" s="406"/>
      <c r="B274" s="406"/>
      <c r="C274" s="214"/>
      <c r="D274" s="264" t="s">
        <v>606</v>
      </c>
      <c r="E274" s="407"/>
      <c r="F274" s="407"/>
      <c r="G274" s="761">
        <v>157021</v>
      </c>
      <c r="H274" s="761">
        <v>4031</v>
      </c>
      <c r="I274" s="761">
        <f>SUM(G274:H274)</f>
        <v>161052</v>
      </c>
      <c r="J274" s="408">
        <f>'táj.2.'!K45</f>
        <v>-3651</v>
      </c>
      <c r="K274" s="408">
        <f>'táj.2.'!H21</f>
        <v>0</v>
      </c>
      <c r="L274" s="408">
        <f>SUM(J274:K274)</f>
        <v>-3651</v>
      </c>
      <c r="M274" s="408">
        <f>SUM(G274+J274)</f>
        <v>153370</v>
      </c>
      <c r="N274" s="408">
        <f>SUM(H274+K274)</f>
        <v>4031</v>
      </c>
      <c r="O274" s="408">
        <f>SUM(I274+L274)</f>
        <v>157401</v>
      </c>
    </row>
    <row r="275" spans="1:15" ht="13.5">
      <c r="A275" s="221">
        <v>2</v>
      </c>
      <c r="B275" s="221"/>
      <c r="C275" s="219"/>
      <c r="D275" s="358" t="s">
        <v>476</v>
      </c>
      <c r="E275" s="368"/>
      <c r="F275" s="368"/>
      <c r="G275" s="220">
        <f>SUM(G273:G274)</f>
        <v>3535704</v>
      </c>
      <c r="H275" s="220">
        <f aca="true" t="shared" si="33" ref="H275:O275">SUM(H273:H274)</f>
        <v>72898</v>
      </c>
      <c r="I275" s="220">
        <f t="shared" si="33"/>
        <v>3608602</v>
      </c>
      <c r="J275" s="220">
        <f t="shared" si="33"/>
        <v>267098</v>
      </c>
      <c r="K275" s="220">
        <f t="shared" si="33"/>
        <v>76486</v>
      </c>
      <c r="L275" s="220">
        <f t="shared" si="33"/>
        <v>343584</v>
      </c>
      <c r="M275" s="220">
        <f t="shared" si="33"/>
        <v>3802802</v>
      </c>
      <c r="N275" s="220">
        <f t="shared" si="33"/>
        <v>149384</v>
      </c>
      <c r="O275" s="220">
        <f t="shared" si="33"/>
        <v>3952186</v>
      </c>
    </row>
    <row r="276" spans="1:15" ht="15" customHeight="1">
      <c r="A276" s="223"/>
      <c r="B276" s="223"/>
      <c r="C276" s="223"/>
      <c r="D276" s="223"/>
      <c r="E276" s="223"/>
      <c r="F276" s="223"/>
      <c r="G276" s="409"/>
      <c r="H276" s="409"/>
      <c r="I276" s="409"/>
      <c r="J276" s="409"/>
      <c r="K276" s="409"/>
      <c r="L276" s="409"/>
      <c r="M276" s="223"/>
      <c r="N276" s="223"/>
      <c r="O276" s="223"/>
    </row>
    <row r="277" spans="1:15" ht="12.75">
      <c r="A277" s="223" t="s">
        <v>130</v>
      </c>
      <c r="B277" s="223"/>
      <c r="C277" s="223"/>
      <c r="D277" s="223"/>
      <c r="E277" s="223"/>
      <c r="F277" s="223"/>
      <c r="G277" s="409"/>
      <c r="H277" s="409"/>
      <c r="I277" s="409"/>
      <c r="J277" s="409"/>
      <c r="K277" s="409"/>
      <c r="L277" s="409"/>
      <c r="M277" s="223"/>
      <c r="N277" s="223"/>
      <c r="O277" s="223"/>
    </row>
    <row r="278" spans="1:15" ht="12.75">
      <c r="A278" s="223"/>
      <c r="B278" s="223"/>
      <c r="C278" s="223"/>
      <c r="D278" s="223"/>
      <c r="E278" s="223"/>
      <c r="F278" s="223"/>
      <c r="G278" s="223"/>
      <c r="H278" s="223"/>
      <c r="I278" s="223"/>
      <c r="J278" s="223"/>
      <c r="K278" s="223"/>
      <c r="L278" s="223"/>
      <c r="M278" s="223"/>
      <c r="N278" s="223"/>
      <c r="O278" s="223"/>
    </row>
    <row r="279" spans="1:15" ht="12.75">
      <c r="A279" s="223"/>
      <c r="B279" s="223"/>
      <c r="C279" s="223"/>
      <c r="D279" s="223"/>
      <c r="E279" s="223"/>
      <c r="F279" s="223"/>
      <c r="G279" s="223"/>
      <c r="H279" s="223"/>
      <c r="I279" s="223"/>
      <c r="J279" s="223"/>
      <c r="K279" s="223"/>
      <c r="L279" s="223"/>
      <c r="M279" s="223"/>
      <c r="N279" s="223"/>
      <c r="O279" s="223"/>
    </row>
    <row r="280" spans="1:15" ht="12.75">
      <c r="A280" s="223"/>
      <c r="B280" s="223"/>
      <c r="C280" s="223"/>
      <c r="D280" s="223"/>
      <c r="E280" s="223"/>
      <c r="F280" s="223"/>
      <c r="G280" s="223"/>
      <c r="H280" s="223"/>
      <c r="I280" s="223"/>
      <c r="J280" s="223"/>
      <c r="K280" s="223"/>
      <c r="L280" s="223"/>
      <c r="M280" s="223"/>
      <c r="N280" s="223"/>
      <c r="O280" s="223"/>
    </row>
    <row r="281" spans="1:15" ht="13.5">
      <c r="A281" s="223"/>
      <c r="B281" s="223"/>
      <c r="C281" s="223"/>
      <c r="D281" s="223"/>
      <c r="E281" s="223"/>
      <c r="F281" s="223"/>
      <c r="G281" s="223"/>
      <c r="H281" s="223"/>
      <c r="I281" s="224"/>
      <c r="J281" s="224"/>
      <c r="K281" s="224"/>
      <c r="L281" s="224"/>
      <c r="M281" s="224"/>
      <c r="N281" s="224"/>
      <c r="O281" s="223"/>
    </row>
    <row r="282" spans="1:15" ht="13.5">
      <c r="A282" s="223"/>
      <c r="B282" s="223"/>
      <c r="C282" s="223"/>
      <c r="D282" s="223"/>
      <c r="E282" s="223"/>
      <c r="F282" s="223"/>
      <c r="G282" s="223"/>
      <c r="H282" s="223"/>
      <c r="I282" s="224"/>
      <c r="J282" s="224"/>
      <c r="K282" s="224"/>
      <c r="L282" s="224"/>
      <c r="M282" s="224"/>
      <c r="N282" s="224"/>
      <c r="O282" s="223"/>
    </row>
    <row r="283" spans="1:15" ht="12.75">
      <c r="A283" s="223"/>
      <c r="B283" s="223"/>
      <c r="C283" s="223"/>
      <c r="D283" s="223"/>
      <c r="E283" s="223"/>
      <c r="F283" s="223"/>
      <c r="G283" s="223"/>
      <c r="H283" s="223"/>
      <c r="I283" s="223"/>
      <c r="J283" s="223"/>
      <c r="K283" s="223"/>
      <c r="L283" s="223"/>
      <c r="M283" s="223"/>
      <c r="N283" s="223"/>
      <c r="O283" s="223"/>
    </row>
    <row r="284" spans="1:15" ht="12.75">
      <c r="A284" s="223"/>
      <c r="B284" s="223"/>
      <c r="C284" s="223"/>
      <c r="D284" s="223"/>
      <c r="E284" s="223"/>
      <c r="F284" s="223"/>
      <c r="G284" s="223"/>
      <c r="H284" s="223"/>
      <c r="I284" s="223"/>
      <c r="J284" s="223"/>
      <c r="K284" s="223"/>
      <c r="L284" s="223"/>
      <c r="M284" s="223"/>
      <c r="N284" s="223"/>
      <c r="O284" s="223"/>
    </row>
  </sheetData>
  <sheetProtection/>
  <mergeCells count="8">
    <mergeCell ref="D40:E40"/>
    <mergeCell ref="D33:E33"/>
    <mergeCell ref="D34:E34"/>
    <mergeCell ref="M1:O1"/>
    <mergeCell ref="J1:L1"/>
    <mergeCell ref="G1:I1"/>
    <mergeCell ref="E1:E2"/>
    <mergeCell ref="F1:F2"/>
  </mergeCells>
  <printOptions horizontalCentered="1" verticalCentered="1"/>
  <pageMargins left="0.1968503937007874" right="0.1968503937007874" top="0.5905511811023623" bottom="1.062992125984252" header="0.2755905511811024" footer="0.3937007874015748"/>
  <pageSetup horizontalDpi="300" verticalDpi="300" orientation="landscape" paperSize="9" scale="85" r:id="rId1"/>
  <headerFooter alignWithMargins="0">
    <oddHeader>&amp;C&amp;"Times New Roman,Félkövér dőlt"Zalaegerszeg Megyi Jogú Város Önkormányzatának
2012. évi beruházási célú kiadásai feladatonként a II. negyedévi módosítás után&amp;R&amp;"Times New Roman,Félkövér dőlt"6.sz. melléklet
Adatok:ezer Ft-ban</oddHeader>
    <oddFooter>&amp;L** kgy = közgyűlési hatáskörben
     pm= polgármesteri hatáskörben
     biz = bizottsági hatáskörben
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139"/>
  <sheetViews>
    <sheetView workbookViewId="0" topLeftCell="B1">
      <pane ySplit="2" topLeftCell="BM108" activePane="bottomLeft" state="frozen"/>
      <selection pane="topLeft" activeCell="B1" sqref="B1"/>
      <selection pane="bottomLeft" activeCell="C22" sqref="C22:D22"/>
    </sheetView>
  </sheetViews>
  <sheetFormatPr defaultColWidth="9.00390625" defaultRowHeight="12.75"/>
  <cols>
    <col min="1" max="1" width="5.375" style="87" customWidth="1"/>
    <col min="2" max="2" width="6.125" style="87" customWidth="1"/>
    <col min="3" max="3" width="5.375" style="87" customWidth="1"/>
    <col min="4" max="4" width="43.375" style="87" customWidth="1"/>
    <col min="5" max="5" width="2.625" style="87" customWidth="1"/>
    <col min="6" max="6" width="7.50390625" style="87" customWidth="1"/>
    <col min="7" max="7" width="10.50390625" style="87" customWidth="1"/>
    <col min="8" max="8" width="9.875" style="87" customWidth="1"/>
    <col min="9" max="9" width="10.125" style="87" customWidth="1"/>
    <col min="10" max="10" width="9.875" style="87" customWidth="1"/>
    <col min="11" max="11" width="9.375" style="87" customWidth="1"/>
    <col min="12" max="12" width="9.00390625" style="87" customWidth="1"/>
    <col min="13" max="13" width="10.50390625" style="87" customWidth="1"/>
    <col min="14" max="14" width="10.375" style="87" customWidth="1"/>
    <col min="15" max="15" width="11.00390625" style="87" bestFit="1" customWidth="1"/>
    <col min="16" max="16384" width="9.375" style="87" customWidth="1"/>
  </cols>
  <sheetData>
    <row r="1" spans="1:15" s="86" customFormat="1" ht="24" customHeight="1">
      <c r="A1" s="116"/>
      <c r="B1" s="117"/>
      <c r="C1" s="117"/>
      <c r="D1" s="369"/>
      <c r="E1" s="379"/>
      <c r="F1" s="794" t="s">
        <v>1012</v>
      </c>
      <c r="G1" s="808" t="s">
        <v>601</v>
      </c>
      <c r="H1" s="809"/>
      <c r="I1" s="810"/>
      <c r="J1" s="811" t="s">
        <v>1219</v>
      </c>
      <c r="K1" s="792"/>
      <c r="L1" s="793"/>
      <c r="M1" s="811" t="s">
        <v>602</v>
      </c>
      <c r="N1" s="792"/>
      <c r="O1" s="793"/>
    </row>
    <row r="2" spans="1:15" s="86" customFormat="1" ht="42" customHeight="1" thickBot="1">
      <c r="A2" s="118" t="s">
        <v>508</v>
      </c>
      <c r="B2" s="119" t="s">
        <v>509</v>
      </c>
      <c r="C2" s="119" t="s">
        <v>510</v>
      </c>
      <c r="D2" s="370" t="s">
        <v>511</v>
      </c>
      <c r="E2" s="380"/>
      <c r="F2" s="795"/>
      <c r="G2" s="109" t="s">
        <v>512</v>
      </c>
      <c r="H2" s="109" t="s">
        <v>513</v>
      </c>
      <c r="I2" s="109" t="s">
        <v>514</v>
      </c>
      <c r="J2" s="109" t="s">
        <v>512</v>
      </c>
      <c r="K2" s="109" t="s">
        <v>513</v>
      </c>
      <c r="L2" s="109" t="s">
        <v>514</v>
      </c>
      <c r="M2" s="109" t="s">
        <v>512</v>
      </c>
      <c r="N2" s="109" t="s">
        <v>513</v>
      </c>
      <c r="O2" s="109" t="s">
        <v>514</v>
      </c>
    </row>
    <row r="3" spans="1:15" ht="13.5" customHeight="1">
      <c r="A3" s="120">
        <v>1</v>
      </c>
      <c r="B3" s="120"/>
      <c r="C3" s="120"/>
      <c r="D3" s="327" t="s">
        <v>1013</v>
      </c>
      <c r="E3" s="381"/>
      <c r="F3" s="121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3.5" customHeight="1">
      <c r="A4" s="140">
        <v>1</v>
      </c>
      <c r="B4" s="140">
        <v>12</v>
      </c>
      <c r="C4" s="140"/>
      <c r="D4" s="372" t="s">
        <v>492</v>
      </c>
      <c r="E4" s="384"/>
      <c r="F4" s="312"/>
      <c r="G4" s="141"/>
      <c r="H4" s="142"/>
      <c r="I4" s="141"/>
      <c r="J4" s="141"/>
      <c r="K4" s="141"/>
      <c r="L4" s="141"/>
      <c r="M4" s="142"/>
      <c r="N4" s="142"/>
      <c r="O4" s="142"/>
    </row>
    <row r="5" spans="1:15" ht="24.75" customHeight="1">
      <c r="A5" s="140"/>
      <c r="B5" s="140"/>
      <c r="C5" s="140" t="s">
        <v>1008</v>
      </c>
      <c r="D5" s="493" t="s">
        <v>1014</v>
      </c>
      <c r="E5" s="623"/>
      <c r="F5" s="122" t="s">
        <v>1171</v>
      </c>
      <c r="G5" s="698">
        <v>8400</v>
      </c>
      <c r="H5" s="698"/>
      <c r="I5" s="698">
        <v>8400</v>
      </c>
      <c r="J5" s="142">
        <v>100</v>
      </c>
      <c r="K5" s="142"/>
      <c r="L5" s="142">
        <v>100</v>
      </c>
      <c r="M5" s="142">
        <f aca="true" t="shared" si="0" ref="M5:O11">SUM(G5+J5)</f>
        <v>8500</v>
      </c>
      <c r="N5" s="142"/>
      <c r="O5" s="142">
        <f t="shared" si="0"/>
        <v>8500</v>
      </c>
    </row>
    <row r="6" spans="1:15" ht="24.75" customHeight="1">
      <c r="A6" s="140"/>
      <c r="B6" s="140"/>
      <c r="C6" s="140" t="s">
        <v>120</v>
      </c>
      <c r="D6" s="574" t="s">
        <v>1015</v>
      </c>
      <c r="E6" s="624"/>
      <c r="F6" s="122"/>
      <c r="G6" s="698">
        <v>1500</v>
      </c>
      <c r="H6" s="698"/>
      <c r="I6" s="698">
        <v>1500</v>
      </c>
      <c r="J6" s="142"/>
      <c r="K6" s="142"/>
      <c r="L6" s="142"/>
      <c r="M6" s="142">
        <f t="shared" si="0"/>
        <v>1500</v>
      </c>
      <c r="N6" s="142"/>
      <c r="O6" s="142">
        <f t="shared" si="0"/>
        <v>1500</v>
      </c>
    </row>
    <row r="7" spans="1:15" ht="24.75" customHeight="1">
      <c r="A7" s="140"/>
      <c r="B7" s="140"/>
      <c r="C7" s="140" t="s">
        <v>122</v>
      </c>
      <c r="D7" s="576" t="s">
        <v>1016</v>
      </c>
      <c r="E7" s="624"/>
      <c r="F7" s="122"/>
      <c r="G7" s="698">
        <v>9878</v>
      </c>
      <c r="H7" s="698"/>
      <c r="I7" s="698">
        <v>9878</v>
      </c>
      <c r="J7" s="142"/>
      <c r="K7" s="142"/>
      <c r="L7" s="142"/>
      <c r="M7" s="142">
        <f t="shared" si="0"/>
        <v>9878</v>
      </c>
      <c r="N7" s="142"/>
      <c r="O7" s="142">
        <f t="shared" si="0"/>
        <v>9878</v>
      </c>
    </row>
    <row r="8" spans="1:15" ht="15" customHeight="1">
      <c r="A8" s="140"/>
      <c r="B8" s="140"/>
      <c r="C8" s="140"/>
      <c r="D8" s="625" t="s">
        <v>265</v>
      </c>
      <c r="E8" s="624"/>
      <c r="F8" s="122"/>
      <c r="G8" s="698"/>
      <c r="H8" s="698"/>
      <c r="I8" s="698"/>
      <c r="J8" s="142"/>
      <c r="K8" s="142"/>
      <c r="L8" s="142"/>
      <c r="M8" s="142"/>
      <c r="N8" s="142"/>
      <c r="O8" s="142"/>
    </row>
    <row r="9" spans="1:15" ht="24.75" customHeight="1">
      <c r="A9" s="140"/>
      <c r="B9" s="140"/>
      <c r="C9" s="140" t="s">
        <v>666</v>
      </c>
      <c r="D9" s="796" t="s">
        <v>217</v>
      </c>
      <c r="E9" s="796"/>
      <c r="F9" s="122"/>
      <c r="G9" s="698">
        <v>27510</v>
      </c>
      <c r="H9" s="698"/>
      <c r="I9" s="698">
        <v>27510</v>
      </c>
      <c r="J9" s="142"/>
      <c r="K9" s="142"/>
      <c r="L9" s="142"/>
      <c r="M9" s="142">
        <f t="shared" si="0"/>
        <v>27510</v>
      </c>
      <c r="N9" s="142"/>
      <c r="O9" s="142">
        <f t="shared" si="0"/>
        <v>27510</v>
      </c>
    </row>
    <row r="10" spans="1:15" ht="15" customHeight="1">
      <c r="A10" s="140"/>
      <c r="B10" s="140"/>
      <c r="C10" s="140" t="s">
        <v>1017</v>
      </c>
      <c r="D10" s="797" t="s">
        <v>218</v>
      </c>
      <c r="E10" s="797"/>
      <c r="F10" s="122" t="s">
        <v>1171</v>
      </c>
      <c r="G10" s="698">
        <v>4236</v>
      </c>
      <c r="H10" s="698">
        <v>0</v>
      </c>
      <c r="I10" s="698">
        <v>4236</v>
      </c>
      <c r="J10" s="142">
        <v>471</v>
      </c>
      <c r="K10" s="142">
        <v>2000</v>
      </c>
      <c r="L10" s="142">
        <f>SUM(J10:K10)</f>
        <v>2471</v>
      </c>
      <c r="M10" s="142">
        <f t="shared" si="0"/>
        <v>4707</v>
      </c>
      <c r="N10" s="142">
        <f t="shared" si="0"/>
        <v>2000</v>
      </c>
      <c r="O10" s="142">
        <f>SUM(M10:N10)</f>
        <v>6707</v>
      </c>
    </row>
    <row r="11" spans="1:15" ht="15" customHeight="1">
      <c r="A11" s="140"/>
      <c r="B11" s="140"/>
      <c r="C11" s="140" t="s">
        <v>1018</v>
      </c>
      <c r="D11" s="797" t="s">
        <v>219</v>
      </c>
      <c r="E11" s="797"/>
      <c r="F11" s="122" t="s">
        <v>1171</v>
      </c>
      <c r="G11" s="698">
        <v>3591</v>
      </c>
      <c r="H11" s="698">
        <v>0</v>
      </c>
      <c r="I11" s="698">
        <v>3591</v>
      </c>
      <c r="J11" s="142">
        <v>722</v>
      </c>
      <c r="K11" s="142"/>
      <c r="L11" s="142">
        <v>722</v>
      </c>
      <c r="M11" s="142">
        <f t="shared" si="0"/>
        <v>4313</v>
      </c>
      <c r="N11" s="142">
        <f t="shared" si="0"/>
        <v>0</v>
      </c>
      <c r="O11" s="142">
        <f t="shared" si="0"/>
        <v>4313</v>
      </c>
    </row>
    <row r="12" spans="1:15" ht="13.5" customHeight="1">
      <c r="A12" s="124"/>
      <c r="B12" s="124"/>
      <c r="C12" s="124"/>
      <c r="D12" s="371" t="s">
        <v>684</v>
      </c>
      <c r="E12" s="383"/>
      <c r="F12" s="311"/>
      <c r="G12" s="126">
        <f aca="true" t="shared" si="1" ref="G12:O12">SUM(G5:G11)</f>
        <v>55115</v>
      </c>
      <c r="H12" s="126">
        <f t="shared" si="1"/>
        <v>0</v>
      </c>
      <c r="I12" s="126">
        <f t="shared" si="1"/>
        <v>55115</v>
      </c>
      <c r="J12" s="126">
        <f t="shared" si="1"/>
        <v>1293</v>
      </c>
      <c r="K12" s="126">
        <f t="shared" si="1"/>
        <v>2000</v>
      </c>
      <c r="L12" s="126">
        <f t="shared" si="1"/>
        <v>3293</v>
      </c>
      <c r="M12" s="126">
        <f t="shared" si="1"/>
        <v>56408</v>
      </c>
      <c r="N12" s="126">
        <f t="shared" si="1"/>
        <v>2000</v>
      </c>
      <c r="O12" s="126">
        <f t="shared" si="1"/>
        <v>58408</v>
      </c>
    </row>
    <row r="13" spans="1:15" ht="13.5" customHeight="1">
      <c r="A13" s="120">
        <v>1</v>
      </c>
      <c r="B13" s="120">
        <v>13</v>
      </c>
      <c r="C13" s="120"/>
      <c r="D13" s="327" t="s">
        <v>515</v>
      </c>
      <c r="E13" s="381"/>
      <c r="F13" s="313"/>
      <c r="G13" s="123"/>
      <c r="H13" s="123"/>
      <c r="I13" s="123"/>
      <c r="J13" s="123"/>
      <c r="K13" s="123"/>
      <c r="L13" s="123"/>
      <c r="M13" s="142"/>
      <c r="N13" s="141"/>
      <c r="O13" s="142"/>
    </row>
    <row r="14" spans="1:15" ht="24.75" customHeight="1">
      <c r="A14" s="120"/>
      <c r="B14" s="120"/>
      <c r="C14" s="140" t="s">
        <v>1008</v>
      </c>
      <c r="D14" s="580" t="s">
        <v>1019</v>
      </c>
      <c r="E14" s="580"/>
      <c r="F14" s="127"/>
      <c r="G14" s="698">
        <v>0</v>
      </c>
      <c r="H14" s="698">
        <v>630</v>
      </c>
      <c r="I14" s="698">
        <v>630</v>
      </c>
      <c r="J14" s="123"/>
      <c r="K14" s="123"/>
      <c r="L14" s="123"/>
      <c r="M14" s="142">
        <f aca="true" t="shared" si="2" ref="M14:M25">SUM(G14+J14)</f>
        <v>0</v>
      </c>
      <c r="N14" s="142">
        <f>SUM(H14+K14)</f>
        <v>630</v>
      </c>
      <c r="O14" s="142">
        <f aca="true" t="shared" si="3" ref="O14:O25">SUM(I14+L14)</f>
        <v>630</v>
      </c>
    </row>
    <row r="15" spans="1:15" ht="24.75" customHeight="1">
      <c r="A15" s="120"/>
      <c r="B15" s="120"/>
      <c r="C15" s="140" t="s">
        <v>120</v>
      </c>
      <c r="D15" s="580" t="s">
        <v>1020</v>
      </c>
      <c r="E15" s="580"/>
      <c r="F15" s="127"/>
      <c r="G15" s="698">
        <v>0</v>
      </c>
      <c r="H15" s="698">
        <v>1300</v>
      </c>
      <c r="I15" s="698">
        <v>1300</v>
      </c>
      <c r="J15" s="123"/>
      <c r="K15" s="123"/>
      <c r="L15" s="123"/>
      <c r="M15" s="142">
        <f t="shared" si="2"/>
        <v>0</v>
      </c>
      <c r="N15" s="142">
        <f aca="true" t="shared" si="4" ref="N15:N21">SUM(H15+K15)</f>
        <v>1300</v>
      </c>
      <c r="O15" s="142">
        <f t="shared" si="3"/>
        <v>1300</v>
      </c>
    </row>
    <row r="16" spans="1:15" ht="15" customHeight="1">
      <c r="A16" s="120"/>
      <c r="B16" s="120"/>
      <c r="C16" s="140" t="s">
        <v>122</v>
      </c>
      <c r="D16" s="580" t="s">
        <v>1021</v>
      </c>
      <c r="E16" s="580"/>
      <c r="F16" s="127"/>
      <c r="G16" s="698">
        <v>0</v>
      </c>
      <c r="H16" s="698">
        <v>1000</v>
      </c>
      <c r="I16" s="698">
        <v>1000</v>
      </c>
      <c r="J16" s="123"/>
      <c r="K16" s="123"/>
      <c r="L16" s="123"/>
      <c r="M16" s="142">
        <f t="shared" si="2"/>
        <v>0</v>
      </c>
      <c r="N16" s="142">
        <f t="shared" si="4"/>
        <v>1000</v>
      </c>
      <c r="O16" s="142">
        <f t="shared" si="3"/>
        <v>1000</v>
      </c>
    </row>
    <row r="17" spans="1:15" ht="15" customHeight="1">
      <c r="A17" s="120"/>
      <c r="B17" s="120"/>
      <c r="C17" s="140" t="s">
        <v>124</v>
      </c>
      <c r="D17" s="580" t="s">
        <v>1022</v>
      </c>
      <c r="E17" s="580"/>
      <c r="F17" s="127"/>
      <c r="G17" s="698">
        <v>0</v>
      </c>
      <c r="H17" s="698">
        <v>500</v>
      </c>
      <c r="I17" s="698">
        <v>500</v>
      </c>
      <c r="J17" s="123"/>
      <c r="K17" s="123"/>
      <c r="L17" s="123"/>
      <c r="M17" s="142">
        <f t="shared" si="2"/>
        <v>0</v>
      </c>
      <c r="N17" s="142">
        <f t="shared" si="4"/>
        <v>500</v>
      </c>
      <c r="O17" s="142">
        <f t="shared" si="3"/>
        <v>500</v>
      </c>
    </row>
    <row r="18" spans="1:15" ht="15" customHeight="1">
      <c r="A18" s="120"/>
      <c r="B18" s="120"/>
      <c r="C18" s="140" t="s">
        <v>125</v>
      </c>
      <c r="D18" s="580" t="s">
        <v>1023</v>
      </c>
      <c r="E18" s="580"/>
      <c r="F18" s="127"/>
      <c r="G18" s="698">
        <v>0</v>
      </c>
      <c r="H18" s="698">
        <v>1000</v>
      </c>
      <c r="I18" s="698">
        <v>1000</v>
      </c>
      <c r="J18" s="123"/>
      <c r="K18" s="123"/>
      <c r="L18" s="123"/>
      <c r="M18" s="142">
        <f t="shared" si="2"/>
        <v>0</v>
      </c>
      <c r="N18" s="142">
        <f t="shared" si="4"/>
        <v>1000</v>
      </c>
      <c r="O18" s="142">
        <f t="shared" si="3"/>
        <v>1000</v>
      </c>
    </row>
    <row r="19" spans="1:15" ht="24.75" customHeight="1">
      <c r="A19" s="120"/>
      <c r="B19" s="120"/>
      <c r="C19" s="140" t="s">
        <v>126</v>
      </c>
      <c r="D19" s="580" t="s">
        <v>1024</v>
      </c>
      <c r="E19" s="580"/>
      <c r="F19" s="127"/>
      <c r="G19" s="698">
        <v>1500</v>
      </c>
      <c r="H19" s="698"/>
      <c r="I19" s="698">
        <v>1500</v>
      </c>
      <c r="J19" s="123"/>
      <c r="K19" s="123"/>
      <c r="L19" s="123"/>
      <c r="M19" s="142">
        <f t="shared" si="2"/>
        <v>1500</v>
      </c>
      <c r="N19" s="142"/>
      <c r="O19" s="142">
        <f t="shared" si="3"/>
        <v>1500</v>
      </c>
    </row>
    <row r="20" spans="1:15" ht="24.75" customHeight="1">
      <c r="A20" s="120"/>
      <c r="B20" s="120"/>
      <c r="C20" s="140" t="s">
        <v>170</v>
      </c>
      <c r="D20" s="580" t="s">
        <v>1025</v>
      </c>
      <c r="E20" s="580"/>
      <c r="F20" s="127"/>
      <c r="G20" s="698">
        <v>1500</v>
      </c>
      <c r="H20" s="698"/>
      <c r="I20" s="698">
        <v>1500</v>
      </c>
      <c r="J20" s="123"/>
      <c r="K20" s="123"/>
      <c r="L20" s="123"/>
      <c r="M20" s="142">
        <f t="shared" si="2"/>
        <v>1500</v>
      </c>
      <c r="N20" s="142"/>
      <c r="O20" s="142">
        <f t="shared" si="3"/>
        <v>1500</v>
      </c>
    </row>
    <row r="21" spans="1:15" ht="24.75" customHeight="1">
      <c r="A21" s="120"/>
      <c r="B21" s="120"/>
      <c r="C21" s="140" t="s">
        <v>171</v>
      </c>
      <c r="D21" s="580" t="s">
        <v>470</v>
      </c>
      <c r="E21" s="580"/>
      <c r="F21" s="127"/>
      <c r="G21" s="698">
        <v>0</v>
      </c>
      <c r="H21" s="698">
        <v>500</v>
      </c>
      <c r="I21" s="698">
        <v>500</v>
      </c>
      <c r="J21" s="123"/>
      <c r="K21" s="123"/>
      <c r="L21" s="123"/>
      <c r="M21" s="142">
        <f t="shared" si="2"/>
        <v>0</v>
      </c>
      <c r="N21" s="142">
        <f t="shared" si="4"/>
        <v>500</v>
      </c>
      <c r="O21" s="142">
        <f t="shared" si="3"/>
        <v>500</v>
      </c>
    </row>
    <row r="22" spans="1:15" ht="15" customHeight="1">
      <c r="A22" s="120"/>
      <c r="B22" s="120"/>
      <c r="C22" s="140" t="s">
        <v>173</v>
      </c>
      <c r="D22" s="580" t="s">
        <v>466</v>
      </c>
      <c r="E22" s="580"/>
      <c r="F22" s="127" t="s">
        <v>467</v>
      </c>
      <c r="G22" s="698"/>
      <c r="H22" s="698"/>
      <c r="I22" s="698"/>
      <c r="J22" s="123">
        <v>1500</v>
      </c>
      <c r="K22" s="123"/>
      <c r="L22" s="123">
        <v>1500</v>
      </c>
      <c r="M22" s="142">
        <v>1500</v>
      </c>
      <c r="N22" s="142"/>
      <c r="O22" s="142">
        <v>1500</v>
      </c>
    </row>
    <row r="23" spans="1:15" ht="15" customHeight="1">
      <c r="A23" s="120"/>
      <c r="B23" s="120"/>
      <c r="C23" s="140"/>
      <c r="D23" s="326" t="s">
        <v>265</v>
      </c>
      <c r="E23" s="326"/>
      <c r="F23" s="127"/>
      <c r="G23" s="698"/>
      <c r="H23" s="698"/>
      <c r="I23" s="698"/>
      <c r="J23" s="123"/>
      <c r="K23" s="123"/>
      <c r="L23" s="123"/>
      <c r="M23" s="142"/>
      <c r="N23" s="142"/>
      <c r="O23" s="142"/>
    </row>
    <row r="24" spans="1:15" ht="24.75" customHeight="1">
      <c r="A24" s="120"/>
      <c r="B24" s="120"/>
      <c r="C24" s="140" t="s">
        <v>677</v>
      </c>
      <c r="D24" s="397" t="s">
        <v>662</v>
      </c>
      <c r="E24" s="397"/>
      <c r="F24" s="127"/>
      <c r="G24" s="698">
        <v>2552</v>
      </c>
      <c r="H24" s="698"/>
      <c r="I24" s="698">
        <v>2552</v>
      </c>
      <c r="J24" s="123"/>
      <c r="K24" s="123"/>
      <c r="L24" s="123"/>
      <c r="M24" s="142">
        <f t="shared" si="2"/>
        <v>2552</v>
      </c>
      <c r="N24" s="142"/>
      <c r="O24" s="142">
        <f t="shared" si="3"/>
        <v>2552</v>
      </c>
    </row>
    <row r="25" spans="1:15" ht="15" customHeight="1">
      <c r="A25" s="120"/>
      <c r="B25" s="120"/>
      <c r="C25" s="140" t="s">
        <v>941</v>
      </c>
      <c r="D25" s="514" t="s">
        <v>1026</v>
      </c>
      <c r="E25" s="514"/>
      <c r="F25" s="127"/>
      <c r="G25" s="698">
        <v>1247</v>
      </c>
      <c r="H25" s="698"/>
      <c r="I25" s="698">
        <v>1247</v>
      </c>
      <c r="J25" s="123"/>
      <c r="K25" s="123"/>
      <c r="L25" s="123"/>
      <c r="M25" s="142">
        <f t="shared" si="2"/>
        <v>1247</v>
      </c>
      <c r="N25" s="142"/>
      <c r="O25" s="142">
        <f t="shared" si="3"/>
        <v>1247</v>
      </c>
    </row>
    <row r="26" spans="1:15" ht="13.5" customHeight="1">
      <c r="A26" s="234"/>
      <c r="B26" s="234"/>
      <c r="C26" s="234"/>
      <c r="D26" s="373" t="s">
        <v>702</v>
      </c>
      <c r="E26" s="385"/>
      <c r="F26" s="235"/>
      <c r="G26" s="126">
        <f aca="true" t="shared" si="5" ref="G26:L26">SUM(G14:G25)</f>
        <v>6799</v>
      </c>
      <c r="H26" s="126">
        <f t="shared" si="5"/>
        <v>4930</v>
      </c>
      <c r="I26" s="126">
        <f t="shared" si="5"/>
        <v>11729</v>
      </c>
      <c r="J26" s="126">
        <f t="shared" si="5"/>
        <v>1500</v>
      </c>
      <c r="K26" s="126">
        <f t="shared" si="5"/>
        <v>0</v>
      </c>
      <c r="L26" s="126">
        <f t="shared" si="5"/>
        <v>1500</v>
      </c>
      <c r="M26" s="126">
        <f>SUM(G26+J26)</f>
        <v>8299</v>
      </c>
      <c r="N26" s="126">
        <f>SUM(H26+K26)</f>
        <v>4930</v>
      </c>
      <c r="O26" s="126">
        <f>SUM(I26+L26)</f>
        <v>13229</v>
      </c>
    </row>
    <row r="27" spans="1:15" ht="13.5" customHeight="1">
      <c r="A27" s="120">
        <v>1</v>
      </c>
      <c r="B27" s="120">
        <v>14</v>
      </c>
      <c r="C27" s="120"/>
      <c r="D27" s="328" t="s">
        <v>494</v>
      </c>
      <c r="E27" s="386"/>
      <c r="F27" s="230"/>
      <c r="G27" s="698"/>
      <c r="H27" s="698"/>
      <c r="I27" s="698"/>
      <c r="J27" s="123"/>
      <c r="K27" s="123"/>
      <c r="L27" s="123"/>
      <c r="M27" s="123"/>
      <c r="N27" s="142"/>
      <c r="O27" s="123"/>
    </row>
    <row r="28" spans="1:15" ht="24.75" customHeight="1">
      <c r="A28" s="120"/>
      <c r="B28" s="120"/>
      <c r="C28" s="128" t="s">
        <v>1008</v>
      </c>
      <c r="D28" s="841" t="s">
        <v>221</v>
      </c>
      <c r="E28" s="841"/>
      <c r="F28" s="130" t="s">
        <v>656</v>
      </c>
      <c r="G28" s="698">
        <v>0</v>
      </c>
      <c r="H28" s="698">
        <v>3740</v>
      </c>
      <c r="I28" s="698">
        <v>3740</v>
      </c>
      <c r="J28" s="123"/>
      <c r="K28" s="123">
        <v>-3740</v>
      </c>
      <c r="L28" s="123">
        <v>-3740</v>
      </c>
      <c r="M28" s="123">
        <f aca="true" t="shared" si="6" ref="M28:O31">SUM(G28+J28)</f>
        <v>0</v>
      </c>
      <c r="N28" s="142">
        <f t="shared" si="6"/>
        <v>0</v>
      </c>
      <c r="O28" s="123">
        <f t="shared" si="6"/>
        <v>0</v>
      </c>
    </row>
    <row r="29" spans="1:15" ht="15" customHeight="1">
      <c r="A29" s="120"/>
      <c r="B29" s="120"/>
      <c r="C29" s="128" t="s">
        <v>120</v>
      </c>
      <c r="D29" s="626" t="s">
        <v>1027</v>
      </c>
      <c r="E29" s="573"/>
      <c r="F29" s="130" t="s">
        <v>1171</v>
      </c>
      <c r="G29" s="698">
        <v>2000</v>
      </c>
      <c r="H29" s="698"/>
      <c r="I29" s="698">
        <v>2000</v>
      </c>
      <c r="J29" s="123">
        <v>-1193</v>
      </c>
      <c r="K29" s="123"/>
      <c r="L29" s="123">
        <v>-1193</v>
      </c>
      <c r="M29" s="123">
        <f t="shared" si="6"/>
        <v>807</v>
      </c>
      <c r="N29" s="142"/>
      <c r="O29" s="123">
        <f t="shared" si="6"/>
        <v>807</v>
      </c>
    </row>
    <row r="30" spans="1:15" ht="15" customHeight="1">
      <c r="A30" s="120"/>
      <c r="B30" s="120"/>
      <c r="C30" s="128" t="s">
        <v>122</v>
      </c>
      <c r="D30" s="841" t="s">
        <v>1028</v>
      </c>
      <c r="E30" s="841"/>
      <c r="F30" s="130"/>
      <c r="G30" s="698">
        <v>7057</v>
      </c>
      <c r="H30" s="698">
        <v>0</v>
      </c>
      <c r="I30" s="698">
        <v>7057</v>
      </c>
      <c r="J30" s="123"/>
      <c r="K30" s="123"/>
      <c r="L30" s="123"/>
      <c r="M30" s="123">
        <f t="shared" si="6"/>
        <v>7057</v>
      </c>
      <c r="N30" s="142">
        <f t="shared" si="6"/>
        <v>0</v>
      </c>
      <c r="O30" s="123">
        <f t="shared" si="6"/>
        <v>7057</v>
      </c>
    </row>
    <row r="31" spans="1:15" ht="12.75" customHeight="1">
      <c r="A31" s="124"/>
      <c r="B31" s="124"/>
      <c r="C31" s="124"/>
      <c r="D31" s="371" t="s">
        <v>435</v>
      </c>
      <c r="E31" s="383"/>
      <c r="F31" s="125"/>
      <c r="G31" s="126">
        <f aca="true" t="shared" si="7" ref="G31:L31">SUM(G28:G30)</f>
        <v>9057</v>
      </c>
      <c r="H31" s="126">
        <f t="shared" si="7"/>
        <v>3740</v>
      </c>
      <c r="I31" s="126">
        <f t="shared" si="7"/>
        <v>12797</v>
      </c>
      <c r="J31" s="126">
        <f t="shared" si="7"/>
        <v>-1193</v>
      </c>
      <c r="K31" s="126">
        <f t="shared" si="7"/>
        <v>-3740</v>
      </c>
      <c r="L31" s="126">
        <f t="shared" si="7"/>
        <v>-4933</v>
      </c>
      <c r="M31" s="126">
        <f t="shared" si="6"/>
        <v>7864</v>
      </c>
      <c r="N31" s="126">
        <f t="shared" si="6"/>
        <v>0</v>
      </c>
      <c r="O31" s="126">
        <f t="shared" si="6"/>
        <v>7864</v>
      </c>
    </row>
    <row r="32" spans="1:15" ht="12.75" customHeight="1">
      <c r="A32" s="275">
        <v>1</v>
      </c>
      <c r="B32" s="275">
        <v>15</v>
      </c>
      <c r="C32" s="140"/>
      <c r="D32" s="329" t="s">
        <v>195</v>
      </c>
      <c r="E32" s="388"/>
      <c r="F32" s="276"/>
      <c r="G32" s="698"/>
      <c r="H32" s="698"/>
      <c r="I32" s="698"/>
      <c r="J32" s="141"/>
      <c r="K32" s="141"/>
      <c r="L32" s="141"/>
      <c r="M32" s="142"/>
      <c r="N32" s="142"/>
      <c r="O32" s="142"/>
    </row>
    <row r="33" spans="1:15" ht="12.75" customHeight="1">
      <c r="A33" s="275"/>
      <c r="B33" s="275"/>
      <c r="C33" s="278">
        <v>1</v>
      </c>
      <c r="D33" s="515" t="s">
        <v>708</v>
      </c>
      <c r="E33" s="516"/>
      <c r="F33" s="121"/>
      <c r="G33" s="698"/>
      <c r="H33" s="698"/>
      <c r="I33" s="698"/>
      <c r="J33" s="141"/>
      <c r="K33" s="141"/>
      <c r="L33" s="141"/>
      <c r="M33" s="142"/>
      <c r="N33" s="142"/>
      <c r="O33" s="142"/>
    </row>
    <row r="34" spans="1:15" ht="15" customHeight="1">
      <c r="A34" s="275"/>
      <c r="B34" s="275"/>
      <c r="C34" s="279" t="s">
        <v>117</v>
      </c>
      <c r="D34" s="499" t="s">
        <v>983</v>
      </c>
      <c r="E34" s="517"/>
      <c r="F34" s="122"/>
      <c r="G34" s="698">
        <v>36144</v>
      </c>
      <c r="H34" s="698">
        <v>0</v>
      </c>
      <c r="I34" s="698">
        <v>36144</v>
      </c>
      <c r="J34" s="142"/>
      <c r="K34" s="141"/>
      <c r="L34" s="142"/>
      <c r="M34" s="142">
        <f>SUM(G34+J34)</f>
        <v>36144</v>
      </c>
      <c r="N34" s="142">
        <f>SUM(H34+K34)</f>
        <v>0</v>
      </c>
      <c r="O34" s="142">
        <f>SUM(I34+L34)</f>
        <v>36144</v>
      </c>
    </row>
    <row r="35" spans="1:15" ht="15" customHeight="1">
      <c r="A35" s="275"/>
      <c r="B35" s="275"/>
      <c r="C35" s="279" t="s">
        <v>118</v>
      </c>
      <c r="D35" s="627" t="s">
        <v>984</v>
      </c>
      <c r="E35" s="519"/>
      <c r="F35" s="122"/>
      <c r="G35" s="698">
        <v>2002</v>
      </c>
      <c r="H35" s="698">
        <v>0</v>
      </c>
      <c r="I35" s="698">
        <v>2002</v>
      </c>
      <c r="J35" s="142"/>
      <c r="K35" s="141"/>
      <c r="L35" s="142"/>
      <c r="M35" s="142">
        <f>SUM(G35+J35)</f>
        <v>2002</v>
      </c>
      <c r="N35" s="142">
        <f aca="true" t="shared" si="8" ref="N35:N104">SUM(H35+K35)</f>
        <v>0</v>
      </c>
      <c r="O35" s="142">
        <f aca="true" t="shared" si="9" ref="O35:O104">SUM(I35+L35)</f>
        <v>2002</v>
      </c>
    </row>
    <row r="36" spans="1:15" ht="15" customHeight="1">
      <c r="A36" s="275"/>
      <c r="B36" s="275"/>
      <c r="C36" s="279"/>
      <c r="D36" s="526" t="s">
        <v>265</v>
      </c>
      <c r="E36" s="519"/>
      <c r="F36" s="122"/>
      <c r="G36" s="698"/>
      <c r="H36" s="698"/>
      <c r="I36" s="698"/>
      <c r="J36" s="142"/>
      <c r="K36" s="141"/>
      <c r="L36" s="142"/>
      <c r="M36" s="142"/>
      <c r="N36" s="142"/>
      <c r="O36" s="142"/>
    </row>
    <row r="37" spans="1:15" ht="15" customHeight="1">
      <c r="A37" s="275"/>
      <c r="B37" s="275"/>
      <c r="C37" s="279" t="s">
        <v>416</v>
      </c>
      <c r="D37" s="518" t="s">
        <v>1006</v>
      </c>
      <c r="E37" s="519"/>
      <c r="F37" s="127"/>
      <c r="G37" s="698">
        <v>1511</v>
      </c>
      <c r="H37" s="698"/>
      <c r="I37" s="698">
        <v>1511</v>
      </c>
      <c r="J37" s="142"/>
      <c r="K37" s="141"/>
      <c r="L37" s="142"/>
      <c r="M37" s="142">
        <f>SUM(G37+J37)</f>
        <v>1511</v>
      </c>
      <c r="N37" s="142"/>
      <c r="O37" s="142">
        <f t="shared" si="9"/>
        <v>1511</v>
      </c>
    </row>
    <row r="38" spans="1:15" ht="15" customHeight="1">
      <c r="A38" s="275"/>
      <c r="B38" s="275"/>
      <c r="C38" s="131" t="s">
        <v>124</v>
      </c>
      <c r="D38" s="376" t="s">
        <v>481</v>
      </c>
      <c r="E38" s="389"/>
      <c r="F38" s="130"/>
      <c r="G38" s="698">
        <v>0</v>
      </c>
      <c r="H38" s="698">
        <v>0</v>
      </c>
      <c r="I38" s="698">
        <v>0</v>
      </c>
      <c r="J38" s="142"/>
      <c r="K38" s="142"/>
      <c r="L38" s="142"/>
      <c r="M38" s="142">
        <f aca="true" t="shared" si="10" ref="M38:M95">SUM(G38+J38)</f>
        <v>0</v>
      </c>
      <c r="N38" s="142">
        <f t="shared" si="8"/>
        <v>0</v>
      </c>
      <c r="O38" s="142">
        <f t="shared" si="9"/>
        <v>0</v>
      </c>
    </row>
    <row r="39" spans="1:15" ht="24.75" customHeight="1">
      <c r="A39" s="275"/>
      <c r="B39" s="275"/>
      <c r="C39" s="140" t="s">
        <v>132</v>
      </c>
      <c r="D39" s="628" t="s">
        <v>1029</v>
      </c>
      <c r="E39" s="389"/>
      <c r="F39" s="130"/>
      <c r="G39" s="698">
        <v>19000</v>
      </c>
      <c r="H39" s="698">
        <v>0</v>
      </c>
      <c r="I39" s="698">
        <v>19000</v>
      </c>
      <c r="J39" s="142"/>
      <c r="K39" s="142"/>
      <c r="L39" s="142"/>
      <c r="M39" s="142">
        <f t="shared" si="10"/>
        <v>19000</v>
      </c>
      <c r="N39" s="142">
        <f t="shared" si="8"/>
        <v>0</v>
      </c>
      <c r="O39" s="142">
        <f t="shared" si="9"/>
        <v>19000</v>
      </c>
    </row>
    <row r="40" spans="1:15" ht="15" customHeight="1">
      <c r="A40" s="275"/>
      <c r="B40" s="275"/>
      <c r="C40" s="140" t="s">
        <v>133</v>
      </c>
      <c r="D40" s="629" t="s">
        <v>1030</v>
      </c>
      <c r="E40" s="389"/>
      <c r="F40" s="122"/>
      <c r="G40" s="698">
        <v>20000</v>
      </c>
      <c r="H40" s="698">
        <v>0</v>
      </c>
      <c r="I40" s="698">
        <v>20000</v>
      </c>
      <c r="J40" s="142"/>
      <c r="K40" s="142"/>
      <c r="L40" s="142"/>
      <c r="M40" s="142">
        <f t="shared" si="10"/>
        <v>20000</v>
      </c>
      <c r="N40" s="142">
        <f t="shared" si="8"/>
        <v>0</v>
      </c>
      <c r="O40" s="142">
        <f t="shared" si="9"/>
        <v>20000</v>
      </c>
    </row>
    <row r="41" spans="1:15" ht="15" customHeight="1">
      <c r="A41" s="275"/>
      <c r="B41" s="275"/>
      <c r="C41" s="140" t="s">
        <v>134</v>
      </c>
      <c r="D41" s="629" t="s">
        <v>1031</v>
      </c>
      <c r="E41" s="389"/>
      <c r="F41" s="122"/>
      <c r="G41" s="698">
        <v>2000</v>
      </c>
      <c r="H41" s="698">
        <v>0</v>
      </c>
      <c r="I41" s="698">
        <v>2000</v>
      </c>
      <c r="J41" s="142"/>
      <c r="K41" s="141"/>
      <c r="L41" s="142"/>
      <c r="M41" s="142">
        <f t="shared" si="10"/>
        <v>2000</v>
      </c>
      <c r="N41" s="142">
        <f t="shared" si="8"/>
        <v>0</v>
      </c>
      <c r="O41" s="142">
        <f t="shared" si="9"/>
        <v>2000</v>
      </c>
    </row>
    <row r="42" spans="1:15" ht="24.75" customHeight="1">
      <c r="A42" s="275"/>
      <c r="B42" s="275"/>
      <c r="C42" s="140" t="s">
        <v>135</v>
      </c>
      <c r="D42" s="628" t="s">
        <v>1032</v>
      </c>
      <c r="E42" s="389"/>
      <c r="F42" s="122"/>
      <c r="G42" s="698">
        <v>2000</v>
      </c>
      <c r="H42" s="698"/>
      <c r="I42" s="698">
        <v>2000</v>
      </c>
      <c r="J42" s="142"/>
      <c r="K42" s="141"/>
      <c r="L42" s="142"/>
      <c r="M42" s="142">
        <f t="shared" si="10"/>
        <v>2000</v>
      </c>
      <c r="N42" s="142"/>
      <c r="O42" s="142">
        <f t="shared" si="9"/>
        <v>2000</v>
      </c>
    </row>
    <row r="43" spans="1:15" ht="24.75" customHeight="1">
      <c r="A43" s="275"/>
      <c r="B43" s="275"/>
      <c r="C43" s="140" t="s">
        <v>136</v>
      </c>
      <c r="D43" s="630" t="s">
        <v>1033</v>
      </c>
      <c r="E43" s="389"/>
      <c r="F43" s="122"/>
      <c r="G43" s="698">
        <v>8786</v>
      </c>
      <c r="H43" s="698"/>
      <c r="I43" s="698">
        <v>8786</v>
      </c>
      <c r="J43" s="142"/>
      <c r="K43" s="141"/>
      <c r="L43" s="142"/>
      <c r="M43" s="142">
        <f t="shared" si="10"/>
        <v>8786</v>
      </c>
      <c r="N43" s="142"/>
      <c r="O43" s="142">
        <f t="shared" si="9"/>
        <v>8786</v>
      </c>
    </row>
    <row r="44" spans="1:15" ht="15" customHeight="1">
      <c r="A44" s="275"/>
      <c r="B44" s="275"/>
      <c r="C44" s="140" t="s">
        <v>137</v>
      </c>
      <c r="D44" s="629" t="s">
        <v>1034</v>
      </c>
      <c r="E44" s="389"/>
      <c r="F44" s="122" t="s">
        <v>1171</v>
      </c>
      <c r="G44" s="698">
        <v>3000</v>
      </c>
      <c r="H44" s="698"/>
      <c r="I44" s="698">
        <v>3000</v>
      </c>
      <c r="J44" s="142">
        <v>-3000</v>
      </c>
      <c r="K44" s="141"/>
      <c r="L44" s="142">
        <v>-3000</v>
      </c>
      <c r="M44" s="142">
        <f t="shared" si="10"/>
        <v>0</v>
      </c>
      <c r="N44" s="142"/>
      <c r="O44" s="142">
        <f t="shared" si="9"/>
        <v>0</v>
      </c>
    </row>
    <row r="45" spans="1:15" ht="24.75" customHeight="1">
      <c r="A45" s="275"/>
      <c r="B45" s="275"/>
      <c r="C45" s="140" t="s">
        <v>138</v>
      </c>
      <c r="D45" s="629" t="s">
        <v>1038</v>
      </c>
      <c r="E45" s="389"/>
      <c r="F45" s="122"/>
      <c r="G45" s="698">
        <v>3000</v>
      </c>
      <c r="H45" s="698"/>
      <c r="I45" s="698">
        <v>3000</v>
      </c>
      <c r="J45" s="142"/>
      <c r="K45" s="141"/>
      <c r="L45" s="142"/>
      <c r="M45" s="142">
        <f t="shared" si="10"/>
        <v>3000</v>
      </c>
      <c r="N45" s="142"/>
      <c r="O45" s="142">
        <f t="shared" si="9"/>
        <v>3000</v>
      </c>
    </row>
    <row r="46" spans="1:15" ht="15" customHeight="1">
      <c r="A46" s="275"/>
      <c r="B46" s="275"/>
      <c r="C46" s="140" t="s">
        <v>139</v>
      </c>
      <c r="D46" s="631" t="s">
        <v>222</v>
      </c>
      <c r="E46" s="389"/>
      <c r="F46" s="122"/>
      <c r="G46" s="698">
        <v>3000</v>
      </c>
      <c r="H46" s="698"/>
      <c r="I46" s="698">
        <v>3000</v>
      </c>
      <c r="J46" s="142"/>
      <c r="K46" s="141"/>
      <c r="L46" s="142"/>
      <c r="M46" s="142">
        <f t="shared" si="10"/>
        <v>3000</v>
      </c>
      <c r="N46" s="142"/>
      <c r="O46" s="142">
        <f t="shared" si="9"/>
        <v>3000</v>
      </c>
    </row>
    <row r="47" spans="1:15" ht="15" customHeight="1">
      <c r="A47" s="275"/>
      <c r="B47" s="275"/>
      <c r="C47" s="140" t="s">
        <v>140</v>
      </c>
      <c r="D47" s="631" t="s">
        <v>1039</v>
      </c>
      <c r="E47" s="389"/>
      <c r="F47" s="122"/>
      <c r="G47" s="698">
        <v>4000</v>
      </c>
      <c r="H47" s="698"/>
      <c r="I47" s="698">
        <v>4000</v>
      </c>
      <c r="J47" s="142"/>
      <c r="K47" s="141"/>
      <c r="L47" s="142"/>
      <c r="M47" s="142">
        <f t="shared" si="10"/>
        <v>4000</v>
      </c>
      <c r="N47" s="142"/>
      <c r="O47" s="142">
        <f t="shared" si="9"/>
        <v>4000</v>
      </c>
    </row>
    <row r="48" spans="1:15" ht="24.75" customHeight="1">
      <c r="A48" s="275"/>
      <c r="B48" s="275"/>
      <c r="C48" s="140" t="s">
        <v>141</v>
      </c>
      <c r="D48" s="631" t="s">
        <v>1040</v>
      </c>
      <c r="E48" s="389"/>
      <c r="F48" s="122"/>
      <c r="G48" s="698">
        <v>6000</v>
      </c>
      <c r="H48" s="698"/>
      <c r="I48" s="698">
        <v>6000</v>
      </c>
      <c r="J48" s="142"/>
      <c r="K48" s="141"/>
      <c r="L48" s="142"/>
      <c r="M48" s="142">
        <f t="shared" si="10"/>
        <v>6000</v>
      </c>
      <c r="N48" s="142"/>
      <c r="O48" s="142">
        <f t="shared" si="9"/>
        <v>6000</v>
      </c>
    </row>
    <row r="49" spans="1:15" ht="15" customHeight="1">
      <c r="A49" s="275"/>
      <c r="B49" s="275"/>
      <c r="C49" s="140" t="s">
        <v>142</v>
      </c>
      <c r="D49" s="629" t="s">
        <v>1041</v>
      </c>
      <c r="E49" s="389"/>
      <c r="F49" s="122"/>
      <c r="G49" s="698">
        <v>500</v>
      </c>
      <c r="H49" s="698"/>
      <c r="I49" s="698">
        <v>500</v>
      </c>
      <c r="J49" s="142"/>
      <c r="K49" s="141"/>
      <c r="L49" s="142"/>
      <c r="M49" s="142">
        <f t="shared" si="10"/>
        <v>500</v>
      </c>
      <c r="N49" s="142"/>
      <c r="O49" s="142">
        <f t="shared" si="9"/>
        <v>500</v>
      </c>
    </row>
    <row r="50" spans="1:15" ht="15" customHeight="1">
      <c r="A50" s="275"/>
      <c r="B50" s="275"/>
      <c r="C50" s="140" t="s">
        <v>143</v>
      </c>
      <c r="D50" s="631" t="s">
        <v>1042</v>
      </c>
      <c r="E50" s="389"/>
      <c r="F50" s="122"/>
      <c r="G50" s="698">
        <v>1000</v>
      </c>
      <c r="H50" s="698"/>
      <c r="I50" s="698">
        <v>1000</v>
      </c>
      <c r="J50" s="142"/>
      <c r="K50" s="141"/>
      <c r="L50" s="142"/>
      <c r="M50" s="142">
        <f t="shared" si="10"/>
        <v>1000</v>
      </c>
      <c r="N50" s="142"/>
      <c r="O50" s="142">
        <f t="shared" si="9"/>
        <v>1000</v>
      </c>
    </row>
    <row r="51" spans="1:15" ht="15" customHeight="1">
      <c r="A51" s="275"/>
      <c r="B51" s="275"/>
      <c r="C51" s="140" t="s">
        <v>144</v>
      </c>
      <c r="D51" s="631" t="s">
        <v>224</v>
      </c>
      <c r="E51" s="389"/>
      <c r="F51" s="122" t="s">
        <v>1171</v>
      </c>
      <c r="G51" s="698">
        <v>14000</v>
      </c>
      <c r="H51" s="698"/>
      <c r="I51" s="698">
        <v>14000</v>
      </c>
      <c r="J51" s="142">
        <v>-3324</v>
      </c>
      <c r="K51" s="141"/>
      <c r="L51" s="142">
        <v>-3324</v>
      </c>
      <c r="M51" s="142">
        <f t="shared" si="10"/>
        <v>10676</v>
      </c>
      <c r="N51" s="142"/>
      <c r="O51" s="142">
        <f t="shared" si="9"/>
        <v>10676</v>
      </c>
    </row>
    <row r="52" spans="1:15" ht="15" customHeight="1">
      <c r="A52" s="275"/>
      <c r="B52" s="275"/>
      <c r="C52" s="140" t="s">
        <v>145</v>
      </c>
      <c r="D52" s="631" t="s">
        <v>223</v>
      </c>
      <c r="E52" s="389"/>
      <c r="F52" s="122"/>
      <c r="G52" s="698">
        <v>10000</v>
      </c>
      <c r="H52" s="698"/>
      <c r="I52" s="698">
        <v>10000</v>
      </c>
      <c r="J52" s="142"/>
      <c r="K52" s="141"/>
      <c r="L52" s="142"/>
      <c r="M52" s="142">
        <f t="shared" si="10"/>
        <v>10000</v>
      </c>
      <c r="N52" s="142"/>
      <c r="O52" s="142">
        <f t="shared" si="9"/>
        <v>10000</v>
      </c>
    </row>
    <row r="53" spans="1:15" ht="15" customHeight="1">
      <c r="A53" s="275"/>
      <c r="B53" s="275"/>
      <c r="C53" s="140" t="s">
        <v>146</v>
      </c>
      <c r="D53" s="631" t="s">
        <v>1043</v>
      </c>
      <c r="E53" s="389"/>
      <c r="F53" s="122"/>
      <c r="G53" s="698">
        <v>1300</v>
      </c>
      <c r="H53" s="698"/>
      <c r="I53" s="698">
        <v>1300</v>
      </c>
      <c r="J53" s="142"/>
      <c r="K53" s="141"/>
      <c r="L53" s="142"/>
      <c r="M53" s="142">
        <f t="shared" si="10"/>
        <v>1300</v>
      </c>
      <c r="N53" s="142"/>
      <c r="O53" s="142">
        <f t="shared" si="9"/>
        <v>1300</v>
      </c>
    </row>
    <row r="54" spans="1:15" ht="15" customHeight="1">
      <c r="A54" s="275"/>
      <c r="B54" s="275"/>
      <c r="C54" s="140" t="s">
        <v>104</v>
      </c>
      <c r="D54" s="631" t="s">
        <v>1044</v>
      </c>
      <c r="E54" s="389"/>
      <c r="F54" s="122"/>
      <c r="G54" s="698">
        <v>2000</v>
      </c>
      <c r="H54" s="698"/>
      <c r="I54" s="698">
        <v>2000</v>
      </c>
      <c r="J54" s="142"/>
      <c r="K54" s="141"/>
      <c r="L54" s="142"/>
      <c r="M54" s="142">
        <f t="shared" si="10"/>
        <v>2000</v>
      </c>
      <c r="N54" s="142"/>
      <c r="O54" s="142">
        <f t="shared" si="9"/>
        <v>2000</v>
      </c>
    </row>
    <row r="55" spans="1:15" ht="15" customHeight="1">
      <c r="A55" s="275"/>
      <c r="B55" s="275"/>
      <c r="C55" s="140" t="s">
        <v>105</v>
      </c>
      <c r="D55" s="631" t="s">
        <v>1045</v>
      </c>
      <c r="E55" s="389"/>
      <c r="F55" s="122"/>
      <c r="G55" s="698">
        <v>1500</v>
      </c>
      <c r="H55" s="698"/>
      <c r="I55" s="698">
        <v>1500</v>
      </c>
      <c r="J55" s="142"/>
      <c r="K55" s="141"/>
      <c r="L55" s="142"/>
      <c r="M55" s="142">
        <f t="shared" si="10"/>
        <v>1500</v>
      </c>
      <c r="N55" s="142"/>
      <c r="O55" s="142">
        <f t="shared" si="9"/>
        <v>1500</v>
      </c>
    </row>
    <row r="56" spans="1:15" ht="24.75" customHeight="1">
      <c r="A56" s="275"/>
      <c r="B56" s="275"/>
      <c r="C56" s="140" t="s">
        <v>106</v>
      </c>
      <c r="D56" s="631" t="s">
        <v>1046</v>
      </c>
      <c r="E56" s="389"/>
      <c r="F56" s="122"/>
      <c r="G56" s="698">
        <v>2000</v>
      </c>
      <c r="H56" s="698"/>
      <c r="I56" s="698">
        <v>2000</v>
      </c>
      <c r="J56" s="142"/>
      <c r="K56" s="141"/>
      <c r="L56" s="142"/>
      <c r="M56" s="142">
        <f t="shared" si="10"/>
        <v>2000</v>
      </c>
      <c r="N56" s="142"/>
      <c r="O56" s="142">
        <f t="shared" si="9"/>
        <v>2000</v>
      </c>
    </row>
    <row r="57" spans="1:15" ht="24.75" customHeight="1">
      <c r="A57" s="275"/>
      <c r="B57" s="275"/>
      <c r="C57" s="140" t="s">
        <v>107</v>
      </c>
      <c r="D57" s="631" t="s">
        <v>1047</v>
      </c>
      <c r="E57" s="389"/>
      <c r="F57" s="122"/>
      <c r="G57" s="698">
        <v>2000</v>
      </c>
      <c r="H57" s="698"/>
      <c r="I57" s="698">
        <v>2000</v>
      </c>
      <c r="J57" s="142"/>
      <c r="K57" s="141"/>
      <c r="L57" s="142"/>
      <c r="M57" s="142">
        <f t="shared" si="10"/>
        <v>2000</v>
      </c>
      <c r="N57" s="142"/>
      <c r="O57" s="142">
        <f t="shared" si="9"/>
        <v>2000</v>
      </c>
    </row>
    <row r="58" spans="1:15" ht="15" customHeight="1">
      <c r="A58" s="275"/>
      <c r="B58" s="275"/>
      <c r="C58" s="140" t="s">
        <v>108</v>
      </c>
      <c r="D58" s="631" t="s">
        <v>1048</v>
      </c>
      <c r="E58" s="389"/>
      <c r="F58" s="122"/>
      <c r="G58" s="698">
        <v>600</v>
      </c>
      <c r="H58" s="698">
        <v>0</v>
      </c>
      <c r="I58" s="698">
        <v>600</v>
      </c>
      <c r="J58" s="142"/>
      <c r="K58" s="141"/>
      <c r="L58" s="142"/>
      <c r="M58" s="142">
        <f t="shared" si="10"/>
        <v>600</v>
      </c>
      <c r="N58" s="142">
        <f t="shared" si="8"/>
        <v>0</v>
      </c>
      <c r="O58" s="142">
        <f t="shared" si="9"/>
        <v>600</v>
      </c>
    </row>
    <row r="59" spans="1:15" ht="15" customHeight="1">
      <c r="A59" s="275"/>
      <c r="B59" s="275"/>
      <c r="C59" s="140" t="s">
        <v>109</v>
      </c>
      <c r="D59" s="631" t="s">
        <v>1049</v>
      </c>
      <c r="E59" s="389"/>
      <c r="F59" s="122"/>
      <c r="G59" s="698">
        <v>2000</v>
      </c>
      <c r="H59" s="698">
        <v>0</v>
      </c>
      <c r="I59" s="698">
        <v>2000</v>
      </c>
      <c r="J59" s="142"/>
      <c r="K59" s="141"/>
      <c r="L59" s="142"/>
      <c r="M59" s="142">
        <f t="shared" si="10"/>
        <v>2000</v>
      </c>
      <c r="N59" s="142">
        <f t="shared" si="8"/>
        <v>0</v>
      </c>
      <c r="O59" s="142">
        <f t="shared" si="9"/>
        <v>2000</v>
      </c>
    </row>
    <row r="60" spans="1:15" ht="15" customHeight="1">
      <c r="A60" s="275"/>
      <c r="B60" s="275"/>
      <c r="C60" s="140" t="s">
        <v>110</v>
      </c>
      <c r="D60" s="631" t="s">
        <v>1050</v>
      </c>
      <c r="E60" s="389"/>
      <c r="F60" s="122"/>
      <c r="G60" s="698">
        <v>500</v>
      </c>
      <c r="H60" s="698">
        <v>0</v>
      </c>
      <c r="I60" s="698">
        <v>500</v>
      </c>
      <c r="J60" s="142"/>
      <c r="K60" s="141"/>
      <c r="L60" s="142"/>
      <c r="M60" s="142">
        <f t="shared" si="10"/>
        <v>500</v>
      </c>
      <c r="N60" s="142">
        <f t="shared" si="8"/>
        <v>0</v>
      </c>
      <c r="O60" s="142">
        <f t="shared" si="9"/>
        <v>500</v>
      </c>
    </row>
    <row r="61" spans="1:15" ht="24.75" customHeight="1">
      <c r="A61" s="275"/>
      <c r="B61" s="275"/>
      <c r="C61" s="140" t="s">
        <v>111</v>
      </c>
      <c r="D61" s="631" t="s">
        <v>1051</v>
      </c>
      <c r="E61" s="389"/>
      <c r="F61" s="122"/>
      <c r="G61" s="698">
        <v>3500</v>
      </c>
      <c r="H61" s="698">
        <v>0</v>
      </c>
      <c r="I61" s="698">
        <v>3500</v>
      </c>
      <c r="J61" s="142"/>
      <c r="K61" s="141"/>
      <c r="L61" s="142"/>
      <c r="M61" s="142">
        <f t="shared" si="10"/>
        <v>3500</v>
      </c>
      <c r="N61" s="142">
        <f t="shared" si="8"/>
        <v>0</v>
      </c>
      <c r="O61" s="142">
        <f t="shared" si="9"/>
        <v>3500</v>
      </c>
    </row>
    <row r="62" spans="1:15" ht="15" customHeight="1">
      <c r="A62" s="275"/>
      <c r="B62" s="275"/>
      <c r="C62" s="140" t="s">
        <v>112</v>
      </c>
      <c r="D62" s="631" t="s">
        <v>1052</v>
      </c>
      <c r="E62" s="389"/>
      <c r="F62" s="122" t="s">
        <v>1171</v>
      </c>
      <c r="G62" s="698">
        <v>2000</v>
      </c>
      <c r="H62" s="698">
        <v>0</v>
      </c>
      <c r="I62" s="698">
        <v>2000</v>
      </c>
      <c r="J62" s="142">
        <v>-41</v>
      </c>
      <c r="K62" s="141"/>
      <c r="L62" s="142">
        <v>-41</v>
      </c>
      <c r="M62" s="142">
        <f t="shared" si="10"/>
        <v>1959</v>
      </c>
      <c r="N62" s="142">
        <f t="shared" si="8"/>
        <v>0</v>
      </c>
      <c r="O62" s="142">
        <f t="shared" si="9"/>
        <v>1959</v>
      </c>
    </row>
    <row r="63" spans="1:15" ht="15" customHeight="1">
      <c r="A63" s="275"/>
      <c r="B63" s="275"/>
      <c r="C63" s="140" t="s">
        <v>1053</v>
      </c>
      <c r="D63" s="631" t="s">
        <v>1054</v>
      </c>
      <c r="E63" s="389"/>
      <c r="F63" s="122"/>
      <c r="G63" s="698">
        <v>500</v>
      </c>
      <c r="H63" s="698">
        <v>0</v>
      </c>
      <c r="I63" s="698">
        <v>500</v>
      </c>
      <c r="J63" s="142"/>
      <c r="K63" s="141"/>
      <c r="L63" s="142"/>
      <c r="M63" s="142">
        <f t="shared" si="10"/>
        <v>500</v>
      </c>
      <c r="N63" s="142">
        <f t="shared" si="8"/>
        <v>0</v>
      </c>
      <c r="O63" s="142">
        <f t="shared" si="9"/>
        <v>500</v>
      </c>
    </row>
    <row r="64" spans="1:15" ht="15" customHeight="1">
      <c r="A64" s="275"/>
      <c r="B64" s="275"/>
      <c r="C64" s="140" t="s">
        <v>1055</v>
      </c>
      <c r="D64" s="631" t="s">
        <v>1056</v>
      </c>
      <c r="E64" s="389"/>
      <c r="F64" s="122"/>
      <c r="G64" s="698">
        <v>2000</v>
      </c>
      <c r="H64" s="698">
        <v>0</v>
      </c>
      <c r="I64" s="698">
        <v>2000</v>
      </c>
      <c r="J64" s="142"/>
      <c r="K64" s="141"/>
      <c r="L64" s="142"/>
      <c r="M64" s="142">
        <f t="shared" si="10"/>
        <v>2000</v>
      </c>
      <c r="N64" s="142">
        <f t="shared" si="8"/>
        <v>0</v>
      </c>
      <c r="O64" s="142">
        <f t="shared" si="9"/>
        <v>2000</v>
      </c>
    </row>
    <row r="65" spans="1:15" ht="15" customHeight="1">
      <c r="A65" s="275"/>
      <c r="B65" s="275"/>
      <c r="C65" s="140" t="s">
        <v>1057</v>
      </c>
      <c r="D65" s="631" t="s">
        <v>1058</v>
      </c>
      <c r="E65" s="389"/>
      <c r="F65" s="122"/>
      <c r="G65" s="698">
        <v>1500</v>
      </c>
      <c r="H65" s="698">
        <v>0</v>
      </c>
      <c r="I65" s="698">
        <v>1500</v>
      </c>
      <c r="J65" s="142"/>
      <c r="K65" s="141"/>
      <c r="L65" s="142"/>
      <c r="M65" s="142">
        <f t="shared" si="10"/>
        <v>1500</v>
      </c>
      <c r="N65" s="142">
        <f t="shared" si="8"/>
        <v>0</v>
      </c>
      <c r="O65" s="142">
        <f t="shared" si="9"/>
        <v>1500</v>
      </c>
    </row>
    <row r="66" spans="1:15" ht="15" customHeight="1">
      <c r="A66" s="275"/>
      <c r="B66" s="275"/>
      <c r="C66" s="140" t="s">
        <v>1059</v>
      </c>
      <c r="D66" s="631" t="s">
        <v>1060</v>
      </c>
      <c r="E66" s="389"/>
      <c r="F66" s="122"/>
      <c r="G66" s="698">
        <v>1700</v>
      </c>
      <c r="H66" s="698">
        <v>0</v>
      </c>
      <c r="I66" s="698">
        <v>1700</v>
      </c>
      <c r="J66" s="142"/>
      <c r="K66" s="141"/>
      <c r="L66" s="142"/>
      <c r="M66" s="142">
        <f t="shared" si="10"/>
        <v>1700</v>
      </c>
      <c r="N66" s="142">
        <f t="shared" si="8"/>
        <v>0</v>
      </c>
      <c r="O66" s="142">
        <f t="shared" si="9"/>
        <v>1700</v>
      </c>
    </row>
    <row r="67" spans="1:15" ht="15" customHeight="1">
      <c r="A67" s="275"/>
      <c r="B67" s="275"/>
      <c r="C67" s="140" t="s">
        <v>1061</v>
      </c>
      <c r="D67" s="631" t="s">
        <v>1062</v>
      </c>
      <c r="E67" s="389"/>
      <c r="F67" s="122" t="s">
        <v>656</v>
      </c>
      <c r="G67" s="698">
        <v>1000</v>
      </c>
      <c r="H67" s="698">
        <v>0</v>
      </c>
      <c r="I67" s="698">
        <v>1000</v>
      </c>
      <c r="J67" s="142">
        <v>250</v>
      </c>
      <c r="K67" s="141"/>
      <c r="L67" s="142">
        <v>250</v>
      </c>
      <c r="M67" s="142">
        <f t="shared" si="10"/>
        <v>1250</v>
      </c>
      <c r="N67" s="142">
        <f t="shared" si="8"/>
        <v>0</v>
      </c>
      <c r="O67" s="142">
        <f t="shared" si="9"/>
        <v>1250</v>
      </c>
    </row>
    <row r="68" spans="1:15" ht="15" customHeight="1">
      <c r="A68" s="275"/>
      <c r="B68" s="275"/>
      <c r="C68" s="140" t="s">
        <v>1063</v>
      </c>
      <c r="D68" s="631" t="s">
        <v>1064</v>
      </c>
      <c r="E68" s="340"/>
      <c r="F68" s="122"/>
      <c r="G68" s="698">
        <v>1000</v>
      </c>
      <c r="H68" s="698">
        <v>0</v>
      </c>
      <c r="I68" s="698">
        <v>1000</v>
      </c>
      <c r="J68" s="142"/>
      <c r="K68" s="141"/>
      <c r="L68" s="142"/>
      <c r="M68" s="142">
        <f t="shared" si="10"/>
        <v>1000</v>
      </c>
      <c r="N68" s="142">
        <f t="shared" si="8"/>
        <v>0</v>
      </c>
      <c r="O68" s="142">
        <f t="shared" si="9"/>
        <v>1000</v>
      </c>
    </row>
    <row r="69" spans="1:15" ht="15" customHeight="1">
      <c r="A69" s="275"/>
      <c r="B69" s="275"/>
      <c r="C69" s="140" t="s">
        <v>1065</v>
      </c>
      <c r="D69" s="628" t="s">
        <v>1066</v>
      </c>
      <c r="E69" s="389"/>
      <c r="F69" s="122"/>
      <c r="G69" s="698">
        <v>1500</v>
      </c>
      <c r="H69" s="698">
        <v>0</v>
      </c>
      <c r="I69" s="698">
        <v>1500</v>
      </c>
      <c r="J69" s="142"/>
      <c r="K69" s="141"/>
      <c r="L69" s="142"/>
      <c r="M69" s="142">
        <f t="shared" si="10"/>
        <v>1500</v>
      </c>
      <c r="N69" s="142">
        <f t="shared" si="8"/>
        <v>0</v>
      </c>
      <c r="O69" s="142">
        <f t="shared" si="9"/>
        <v>1500</v>
      </c>
    </row>
    <row r="70" spans="1:15" ht="24.75" customHeight="1">
      <c r="A70" s="275"/>
      <c r="B70" s="275"/>
      <c r="C70" s="140" t="s">
        <v>1067</v>
      </c>
      <c r="D70" s="628" t="s">
        <v>1068</v>
      </c>
      <c r="E70" s="389"/>
      <c r="F70" s="122"/>
      <c r="G70" s="698">
        <v>3000</v>
      </c>
      <c r="H70" s="698">
        <v>0</v>
      </c>
      <c r="I70" s="698">
        <v>3000</v>
      </c>
      <c r="J70" s="142"/>
      <c r="K70" s="141"/>
      <c r="L70" s="142"/>
      <c r="M70" s="142">
        <f t="shared" si="10"/>
        <v>3000</v>
      </c>
      <c r="N70" s="142">
        <f t="shared" si="8"/>
        <v>0</v>
      </c>
      <c r="O70" s="142">
        <f t="shared" si="9"/>
        <v>3000</v>
      </c>
    </row>
    <row r="71" spans="1:15" ht="24.75" customHeight="1">
      <c r="A71" s="275"/>
      <c r="B71" s="275"/>
      <c r="C71" s="140" t="s">
        <v>1069</v>
      </c>
      <c r="D71" s="628" t="s">
        <v>1070</v>
      </c>
      <c r="E71" s="389"/>
      <c r="F71" s="122" t="s">
        <v>656</v>
      </c>
      <c r="G71" s="698">
        <v>300</v>
      </c>
      <c r="H71" s="698">
        <v>0</v>
      </c>
      <c r="I71" s="698">
        <v>300</v>
      </c>
      <c r="J71" s="142">
        <v>-300</v>
      </c>
      <c r="K71" s="141"/>
      <c r="L71" s="142">
        <v>-300</v>
      </c>
      <c r="M71" s="142">
        <f t="shared" si="10"/>
        <v>0</v>
      </c>
      <c r="N71" s="142">
        <f t="shared" si="8"/>
        <v>0</v>
      </c>
      <c r="O71" s="142">
        <f t="shared" si="9"/>
        <v>0</v>
      </c>
    </row>
    <row r="72" spans="1:15" ht="24.75" customHeight="1">
      <c r="A72" s="275"/>
      <c r="B72" s="275"/>
      <c r="C72" s="140" t="s">
        <v>1071</v>
      </c>
      <c r="D72" s="628" t="s">
        <v>1072</v>
      </c>
      <c r="E72" s="389"/>
      <c r="F72" s="122" t="s">
        <v>1171</v>
      </c>
      <c r="G72" s="698">
        <v>2000</v>
      </c>
      <c r="H72" s="698">
        <v>0</v>
      </c>
      <c r="I72" s="698">
        <v>2000</v>
      </c>
      <c r="J72" s="142">
        <v>1371</v>
      </c>
      <c r="K72" s="141"/>
      <c r="L72" s="142">
        <v>1371</v>
      </c>
      <c r="M72" s="142">
        <f t="shared" si="10"/>
        <v>3371</v>
      </c>
      <c r="N72" s="142">
        <f t="shared" si="8"/>
        <v>0</v>
      </c>
      <c r="O72" s="142">
        <f t="shared" si="9"/>
        <v>3371</v>
      </c>
    </row>
    <row r="73" spans="1:15" ht="15" customHeight="1">
      <c r="A73" s="275"/>
      <c r="B73" s="275"/>
      <c r="C73" s="140" t="s">
        <v>1073</v>
      </c>
      <c r="D73" s="628" t="s">
        <v>1074</v>
      </c>
      <c r="E73" s="389"/>
      <c r="F73" s="122"/>
      <c r="G73" s="698">
        <v>1500</v>
      </c>
      <c r="H73" s="698">
        <v>0</v>
      </c>
      <c r="I73" s="698">
        <v>1500</v>
      </c>
      <c r="J73" s="142"/>
      <c r="K73" s="141"/>
      <c r="L73" s="142"/>
      <c r="M73" s="142">
        <f t="shared" si="10"/>
        <v>1500</v>
      </c>
      <c r="N73" s="142">
        <f t="shared" si="8"/>
        <v>0</v>
      </c>
      <c r="O73" s="142">
        <f t="shared" si="9"/>
        <v>1500</v>
      </c>
    </row>
    <row r="74" spans="1:15" ht="24.75" customHeight="1">
      <c r="A74" s="275"/>
      <c r="B74" s="275"/>
      <c r="C74" s="140" t="s">
        <v>1075</v>
      </c>
      <c r="D74" s="628" t="s">
        <v>1076</v>
      </c>
      <c r="E74" s="389"/>
      <c r="F74" s="122"/>
      <c r="G74" s="698">
        <v>500</v>
      </c>
      <c r="H74" s="698">
        <v>0</v>
      </c>
      <c r="I74" s="698">
        <v>500</v>
      </c>
      <c r="J74" s="142"/>
      <c r="K74" s="141"/>
      <c r="L74" s="142"/>
      <c r="M74" s="142">
        <f t="shared" si="10"/>
        <v>500</v>
      </c>
      <c r="N74" s="142">
        <f t="shared" si="8"/>
        <v>0</v>
      </c>
      <c r="O74" s="142">
        <f t="shared" si="9"/>
        <v>500</v>
      </c>
    </row>
    <row r="75" spans="1:15" ht="15" customHeight="1">
      <c r="A75" s="275"/>
      <c r="B75" s="275"/>
      <c r="C75" s="140" t="s">
        <v>1077</v>
      </c>
      <c r="D75" s="628" t="s">
        <v>1078</v>
      </c>
      <c r="E75" s="389"/>
      <c r="F75" s="122"/>
      <c r="G75" s="698">
        <v>700</v>
      </c>
      <c r="H75" s="698">
        <v>0</v>
      </c>
      <c r="I75" s="698">
        <v>700</v>
      </c>
      <c r="J75" s="142"/>
      <c r="K75" s="141"/>
      <c r="L75" s="142"/>
      <c r="M75" s="142">
        <f t="shared" si="10"/>
        <v>700</v>
      </c>
      <c r="N75" s="142">
        <f t="shared" si="8"/>
        <v>0</v>
      </c>
      <c r="O75" s="142">
        <f t="shared" si="9"/>
        <v>700</v>
      </c>
    </row>
    <row r="76" spans="1:15" ht="15" customHeight="1">
      <c r="A76" s="275"/>
      <c r="B76" s="275"/>
      <c r="C76" s="140" t="s">
        <v>1079</v>
      </c>
      <c r="D76" s="628" t="s">
        <v>1080</v>
      </c>
      <c r="E76" s="389"/>
      <c r="F76" s="122" t="s">
        <v>1171</v>
      </c>
      <c r="G76" s="698">
        <v>4000</v>
      </c>
      <c r="H76" s="698">
        <v>0</v>
      </c>
      <c r="I76" s="698">
        <v>4000</v>
      </c>
      <c r="J76" s="142">
        <v>3100</v>
      </c>
      <c r="K76" s="141"/>
      <c r="L76" s="142">
        <v>3100</v>
      </c>
      <c r="M76" s="142">
        <f t="shared" si="10"/>
        <v>7100</v>
      </c>
      <c r="N76" s="142">
        <f t="shared" si="8"/>
        <v>0</v>
      </c>
      <c r="O76" s="142">
        <f t="shared" si="9"/>
        <v>7100</v>
      </c>
    </row>
    <row r="77" spans="1:15" ht="15" customHeight="1">
      <c r="A77" s="275"/>
      <c r="B77" s="275"/>
      <c r="C77" s="140" t="s">
        <v>1081</v>
      </c>
      <c r="D77" s="628" t="s">
        <v>1082</v>
      </c>
      <c r="E77" s="389"/>
      <c r="F77" s="122"/>
      <c r="G77" s="698">
        <v>4000</v>
      </c>
      <c r="H77" s="698">
        <v>0</v>
      </c>
      <c r="I77" s="698">
        <v>4000</v>
      </c>
      <c r="J77" s="142"/>
      <c r="K77" s="141"/>
      <c r="L77" s="142"/>
      <c r="M77" s="142">
        <f t="shared" si="10"/>
        <v>4000</v>
      </c>
      <c r="N77" s="142">
        <f t="shared" si="8"/>
        <v>0</v>
      </c>
      <c r="O77" s="142">
        <f t="shared" si="9"/>
        <v>4000</v>
      </c>
    </row>
    <row r="78" spans="1:15" ht="15" customHeight="1">
      <c r="A78" s="275"/>
      <c r="B78" s="275"/>
      <c r="C78" s="140" t="s">
        <v>1083</v>
      </c>
      <c r="D78" s="628" t="s">
        <v>1084</v>
      </c>
      <c r="E78" s="389"/>
      <c r="F78" s="122"/>
      <c r="G78" s="698">
        <v>1000</v>
      </c>
      <c r="H78" s="698">
        <v>0</v>
      </c>
      <c r="I78" s="698">
        <v>1000</v>
      </c>
      <c r="J78" s="142"/>
      <c r="K78" s="141"/>
      <c r="L78" s="142"/>
      <c r="M78" s="142">
        <f t="shared" si="10"/>
        <v>1000</v>
      </c>
      <c r="N78" s="142">
        <f t="shared" si="8"/>
        <v>0</v>
      </c>
      <c r="O78" s="142">
        <f t="shared" si="9"/>
        <v>1000</v>
      </c>
    </row>
    <row r="79" spans="1:15" ht="15" customHeight="1">
      <c r="A79" s="275"/>
      <c r="B79" s="275"/>
      <c r="C79" s="140" t="s">
        <v>1085</v>
      </c>
      <c r="D79" s="538" t="s">
        <v>1086</v>
      </c>
      <c r="E79" s="389"/>
      <c r="F79" s="122"/>
      <c r="G79" s="698">
        <v>8730</v>
      </c>
      <c r="H79" s="698">
        <v>0</v>
      </c>
      <c r="I79" s="698">
        <v>8730</v>
      </c>
      <c r="J79" s="142"/>
      <c r="K79" s="141"/>
      <c r="L79" s="142"/>
      <c r="M79" s="142">
        <f t="shared" si="10"/>
        <v>8730</v>
      </c>
      <c r="N79" s="142">
        <f t="shared" si="8"/>
        <v>0</v>
      </c>
      <c r="O79" s="142">
        <f t="shared" si="9"/>
        <v>8730</v>
      </c>
    </row>
    <row r="80" spans="1:15" ht="15" customHeight="1">
      <c r="A80" s="275"/>
      <c r="B80" s="275"/>
      <c r="C80" s="140" t="s">
        <v>1200</v>
      </c>
      <c r="D80" s="538" t="s">
        <v>1201</v>
      </c>
      <c r="E80" s="389"/>
      <c r="F80" s="122" t="s">
        <v>1169</v>
      </c>
      <c r="G80" s="698"/>
      <c r="H80" s="698"/>
      <c r="I80" s="698"/>
      <c r="J80" s="142">
        <v>12500</v>
      </c>
      <c r="K80" s="141"/>
      <c r="L80" s="142">
        <v>12500</v>
      </c>
      <c r="M80" s="142">
        <f t="shared" si="10"/>
        <v>12500</v>
      </c>
      <c r="N80" s="142"/>
      <c r="O80" s="142">
        <f t="shared" si="9"/>
        <v>12500</v>
      </c>
    </row>
    <row r="81" spans="1:15" ht="15" customHeight="1">
      <c r="A81" s="275"/>
      <c r="B81" s="275"/>
      <c r="C81" s="140" t="s">
        <v>1202</v>
      </c>
      <c r="D81" s="538" t="s">
        <v>1203</v>
      </c>
      <c r="E81" s="389"/>
      <c r="F81" s="122" t="s">
        <v>1171</v>
      </c>
      <c r="G81" s="698"/>
      <c r="H81" s="698"/>
      <c r="I81" s="698"/>
      <c r="J81" s="142">
        <v>1624</v>
      </c>
      <c r="K81" s="141"/>
      <c r="L81" s="142">
        <v>1624</v>
      </c>
      <c r="M81" s="142">
        <f t="shared" si="10"/>
        <v>1624</v>
      </c>
      <c r="N81" s="142"/>
      <c r="O81" s="142">
        <f t="shared" si="9"/>
        <v>1624</v>
      </c>
    </row>
    <row r="82" spans="1:15" ht="15" customHeight="1">
      <c r="A82" s="275"/>
      <c r="B82" s="275"/>
      <c r="C82" s="140" t="s">
        <v>16</v>
      </c>
      <c r="D82" s="538" t="s">
        <v>17</v>
      </c>
      <c r="E82" s="389"/>
      <c r="F82" s="122" t="s">
        <v>1171</v>
      </c>
      <c r="G82" s="698"/>
      <c r="H82" s="698"/>
      <c r="I82" s="698"/>
      <c r="J82" s="142">
        <v>6500</v>
      </c>
      <c r="K82" s="141"/>
      <c r="L82" s="142">
        <v>6500</v>
      </c>
      <c r="M82" s="142">
        <f t="shared" si="10"/>
        <v>6500</v>
      </c>
      <c r="N82" s="142"/>
      <c r="O82" s="142">
        <f t="shared" si="9"/>
        <v>6500</v>
      </c>
    </row>
    <row r="83" spans="1:15" ht="15" customHeight="1">
      <c r="A83" s="275"/>
      <c r="B83" s="275"/>
      <c r="C83" s="487"/>
      <c r="D83" s="526" t="s">
        <v>265</v>
      </c>
      <c r="E83" s="389"/>
      <c r="F83" s="122"/>
      <c r="G83" s="698">
        <v>0</v>
      </c>
      <c r="H83" s="698">
        <v>0</v>
      </c>
      <c r="I83" s="698">
        <v>0</v>
      </c>
      <c r="J83" s="142"/>
      <c r="K83" s="141"/>
      <c r="L83" s="142"/>
      <c r="M83" s="142">
        <f t="shared" si="10"/>
        <v>0</v>
      </c>
      <c r="N83" s="142">
        <f t="shared" si="8"/>
        <v>0</v>
      </c>
      <c r="O83" s="142">
        <f t="shared" si="9"/>
        <v>0</v>
      </c>
    </row>
    <row r="84" spans="1:15" ht="15" customHeight="1">
      <c r="A84" s="275"/>
      <c r="B84" s="275"/>
      <c r="C84" s="140" t="s">
        <v>1087</v>
      </c>
      <c r="D84" s="521" t="s">
        <v>222</v>
      </c>
      <c r="E84" s="389"/>
      <c r="F84" s="122"/>
      <c r="G84" s="698">
        <v>1500</v>
      </c>
      <c r="H84" s="698"/>
      <c r="I84" s="698">
        <v>1500</v>
      </c>
      <c r="J84" s="142"/>
      <c r="K84" s="141"/>
      <c r="L84" s="142"/>
      <c r="M84" s="142">
        <f t="shared" si="10"/>
        <v>1500</v>
      </c>
      <c r="N84" s="142"/>
      <c r="O84" s="142">
        <f t="shared" si="9"/>
        <v>1500</v>
      </c>
    </row>
    <row r="85" spans="1:15" ht="15" customHeight="1">
      <c r="A85" s="275"/>
      <c r="B85" s="275"/>
      <c r="C85" s="140" t="s">
        <v>1088</v>
      </c>
      <c r="D85" s="522" t="s">
        <v>223</v>
      </c>
      <c r="E85" s="389"/>
      <c r="F85" s="122"/>
      <c r="G85" s="698">
        <v>2495</v>
      </c>
      <c r="H85" s="698"/>
      <c r="I85" s="698">
        <v>2495</v>
      </c>
      <c r="J85" s="142"/>
      <c r="K85" s="141"/>
      <c r="L85" s="142"/>
      <c r="M85" s="142">
        <f t="shared" si="10"/>
        <v>2495</v>
      </c>
      <c r="N85" s="142"/>
      <c r="O85" s="142">
        <f t="shared" si="9"/>
        <v>2495</v>
      </c>
    </row>
    <row r="86" spans="1:15" ht="15" customHeight="1">
      <c r="A86" s="275"/>
      <c r="B86" s="275"/>
      <c r="C86" s="140" t="s">
        <v>1089</v>
      </c>
      <c r="D86" s="525" t="s">
        <v>225</v>
      </c>
      <c r="E86" s="389"/>
      <c r="F86" s="122"/>
      <c r="G86" s="698">
        <v>159</v>
      </c>
      <c r="H86" s="698"/>
      <c r="I86" s="698">
        <v>159</v>
      </c>
      <c r="J86" s="142"/>
      <c r="K86" s="141"/>
      <c r="L86" s="142"/>
      <c r="M86" s="142">
        <f t="shared" si="10"/>
        <v>159</v>
      </c>
      <c r="N86" s="142"/>
      <c r="O86" s="142">
        <f t="shared" si="9"/>
        <v>159</v>
      </c>
    </row>
    <row r="87" spans="1:15" ht="15" customHeight="1">
      <c r="A87" s="275"/>
      <c r="B87" s="275"/>
      <c r="C87" s="140" t="s">
        <v>1090</v>
      </c>
      <c r="D87" s="506" t="s">
        <v>226</v>
      </c>
      <c r="E87" s="389"/>
      <c r="F87" s="122" t="s">
        <v>1171</v>
      </c>
      <c r="G87" s="698">
        <v>2581</v>
      </c>
      <c r="H87" s="698"/>
      <c r="I87" s="698">
        <v>2581</v>
      </c>
      <c r="J87" s="142">
        <v>41</v>
      </c>
      <c r="K87" s="141"/>
      <c r="L87" s="142">
        <v>41</v>
      </c>
      <c r="M87" s="142">
        <f t="shared" si="10"/>
        <v>2622</v>
      </c>
      <c r="N87" s="142"/>
      <c r="O87" s="142">
        <f t="shared" si="9"/>
        <v>2622</v>
      </c>
    </row>
    <row r="88" spans="1:15" ht="15" customHeight="1">
      <c r="A88" s="275"/>
      <c r="B88" s="275"/>
      <c r="C88" s="140" t="s">
        <v>1091</v>
      </c>
      <c r="D88" s="505" t="s">
        <v>227</v>
      </c>
      <c r="E88" s="389"/>
      <c r="F88" s="122"/>
      <c r="G88" s="698">
        <v>1016</v>
      </c>
      <c r="H88" s="698"/>
      <c r="I88" s="698">
        <v>1016</v>
      </c>
      <c r="J88" s="142"/>
      <c r="K88" s="141"/>
      <c r="L88" s="142"/>
      <c r="M88" s="142">
        <f t="shared" si="10"/>
        <v>1016</v>
      </c>
      <c r="N88" s="142"/>
      <c r="O88" s="142">
        <f t="shared" si="9"/>
        <v>1016</v>
      </c>
    </row>
    <row r="89" spans="1:15" ht="15" customHeight="1">
      <c r="A89" s="275"/>
      <c r="B89" s="275"/>
      <c r="C89" s="140" t="s">
        <v>1092</v>
      </c>
      <c r="D89" s="505" t="s">
        <v>228</v>
      </c>
      <c r="E89" s="389"/>
      <c r="F89" s="122"/>
      <c r="G89" s="698">
        <v>800</v>
      </c>
      <c r="H89" s="698"/>
      <c r="I89" s="698">
        <v>800</v>
      </c>
      <c r="J89" s="142"/>
      <c r="K89" s="141"/>
      <c r="L89" s="142"/>
      <c r="M89" s="142">
        <f t="shared" si="10"/>
        <v>800</v>
      </c>
      <c r="N89" s="142"/>
      <c r="O89" s="142">
        <f t="shared" si="9"/>
        <v>800</v>
      </c>
    </row>
    <row r="90" spans="1:15" ht="15" customHeight="1">
      <c r="A90" s="275"/>
      <c r="B90" s="275"/>
      <c r="C90" s="140" t="s">
        <v>1093</v>
      </c>
      <c r="D90" s="507" t="s">
        <v>229</v>
      </c>
      <c r="E90" s="389"/>
      <c r="F90" s="122"/>
      <c r="G90" s="698">
        <v>1000</v>
      </c>
      <c r="H90" s="698"/>
      <c r="I90" s="698">
        <v>1000</v>
      </c>
      <c r="J90" s="142"/>
      <c r="K90" s="141"/>
      <c r="L90" s="142"/>
      <c r="M90" s="142">
        <f t="shared" si="10"/>
        <v>1000</v>
      </c>
      <c r="N90" s="142"/>
      <c r="O90" s="142">
        <f t="shared" si="9"/>
        <v>1000</v>
      </c>
    </row>
    <row r="91" spans="1:15" ht="34.5" customHeight="1">
      <c r="A91" s="275"/>
      <c r="B91" s="275"/>
      <c r="C91" s="140" t="s">
        <v>1094</v>
      </c>
      <c r="D91" s="524" t="s">
        <v>232</v>
      </c>
      <c r="E91" s="389"/>
      <c r="F91" s="122" t="s">
        <v>656</v>
      </c>
      <c r="G91" s="698">
        <v>4000</v>
      </c>
      <c r="H91" s="698"/>
      <c r="I91" s="698">
        <v>4000</v>
      </c>
      <c r="J91" s="142">
        <v>-800</v>
      </c>
      <c r="K91" s="141"/>
      <c r="L91" s="142">
        <v>-800</v>
      </c>
      <c r="M91" s="142">
        <f t="shared" si="10"/>
        <v>3200</v>
      </c>
      <c r="N91" s="142"/>
      <c r="O91" s="142">
        <f t="shared" si="9"/>
        <v>3200</v>
      </c>
    </row>
    <row r="92" spans="1:15" ht="24.75" customHeight="1">
      <c r="A92" s="275"/>
      <c r="B92" s="275"/>
      <c r="C92" s="140" t="s">
        <v>1095</v>
      </c>
      <c r="D92" s="525" t="s">
        <v>230</v>
      </c>
      <c r="E92" s="389"/>
      <c r="F92" s="122"/>
      <c r="G92" s="698">
        <v>2000</v>
      </c>
      <c r="H92" s="698">
        <v>0</v>
      </c>
      <c r="I92" s="698">
        <v>2000</v>
      </c>
      <c r="J92" s="142"/>
      <c r="K92" s="141"/>
      <c r="L92" s="142"/>
      <c r="M92" s="142">
        <f t="shared" si="10"/>
        <v>2000</v>
      </c>
      <c r="N92" s="142">
        <f t="shared" si="8"/>
        <v>0</v>
      </c>
      <c r="O92" s="142">
        <f t="shared" si="9"/>
        <v>2000</v>
      </c>
    </row>
    <row r="93" spans="1:15" ht="15" customHeight="1">
      <c r="A93" s="275"/>
      <c r="B93" s="275"/>
      <c r="C93" s="140" t="s">
        <v>1096</v>
      </c>
      <c r="D93" s="525" t="s">
        <v>231</v>
      </c>
      <c r="E93" s="389"/>
      <c r="F93" s="122"/>
      <c r="G93" s="698">
        <v>1000</v>
      </c>
      <c r="H93" s="698">
        <v>0</v>
      </c>
      <c r="I93" s="698">
        <v>1000</v>
      </c>
      <c r="J93" s="142"/>
      <c r="K93" s="141"/>
      <c r="L93" s="142"/>
      <c r="M93" s="142">
        <f t="shared" si="10"/>
        <v>1000</v>
      </c>
      <c r="N93" s="142">
        <f t="shared" si="8"/>
        <v>0</v>
      </c>
      <c r="O93" s="142">
        <f t="shared" si="9"/>
        <v>1000</v>
      </c>
    </row>
    <row r="94" spans="1:15" ht="15" customHeight="1">
      <c r="A94" s="275"/>
      <c r="B94" s="275"/>
      <c r="C94" s="140" t="s">
        <v>1097</v>
      </c>
      <c r="D94" s="632" t="s">
        <v>1098</v>
      </c>
      <c r="E94" s="389"/>
      <c r="F94" s="122"/>
      <c r="G94" s="698">
        <v>7750</v>
      </c>
      <c r="H94" s="698"/>
      <c r="I94" s="698">
        <v>7750</v>
      </c>
      <c r="J94" s="142"/>
      <c r="K94" s="141"/>
      <c r="L94" s="142"/>
      <c r="M94" s="142">
        <f t="shared" si="10"/>
        <v>7750</v>
      </c>
      <c r="N94" s="142"/>
      <c r="O94" s="142">
        <f t="shared" si="9"/>
        <v>7750</v>
      </c>
    </row>
    <row r="95" spans="1:15" ht="15" customHeight="1">
      <c r="A95" s="275"/>
      <c r="B95" s="275"/>
      <c r="C95" s="140" t="s">
        <v>1099</v>
      </c>
      <c r="D95" s="523" t="s">
        <v>663</v>
      </c>
      <c r="E95" s="517"/>
      <c r="F95" s="122" t="s">
        <v>1171</v>
      </c>
      <c r="G95" s="698">
        <v>6961</v>
      </c>
      <c r="H95" s="698"/>
      <c r="I95" s="698">
        <v>6961</v>
      </c>
      <c r="J95" s="142">
        <v>1700</v>
      </c>
      <c r="K95" s="141"/>
      <c r="L95" s="142">
        <v>1700</v>
      </c>
      <c r="M95" s="142">
        <f t="shared" si="10"/>
        <v>8661</v>
      </c>
      <c r="N95" s="142"/>
      <c r="O95" s="142">
        <f t="shared" si="9"/>
        <v>8661</v>
      </c>
    </row>
    <row r="96" spans="1:15" ht="15" customHeight="1">
      <c r="A96" s="275"/>
      <c r="B96" s="275"/>
      <c r="C96" s="282" t="s">
        <v>125</v>
      </c>
      <c r="D96" s="339" t="s">
        <v>1010</v>
      </c>
      <c r="E96" s="517"/>
      <c r="F96" s="122"/>
      <c r="G96" s="698"/>
      <c r="H96" s="698"/>
      <c r="I96" s="698"/>
      <c r="J96" s="142"/>
      <c r="K96" s="141"/>
      <c r="L96" s="142"/>
      <c r="M96" s="142"/>
      <c r="N96" s="142"/>
      <c r="O96" s="142"/>
    </row>
    <row r="97" spans="1:15" ht="24.75" customHeight="1">
      <c r="A97" s="275"/>
      <c r="B97" s="275"/>
      <c r="C97" s="287" t="s">
        <v>147</v>
      </c>
      <c r="D97" s="596" t="s">
        <v>1100</v>
      </c>
      <c r="E97" s="517"/>
      <c r="F97" s="122" t="s">
        <v>1171</v>
      </c>
      <c r="G97" s="698">
        <v>4000</v>
      </c>
      <c r="H97" s="698">
        <v>0</v>
      </c>
      <c r="I97" s="698">
        <v>4000</v>
      </c>
      <c r="J97" s="142">
        <v>191</v>
      </c>
      <c r="K97" s="141"/>
      <c r="L97" s="142">
        <v>191</v>
      </c>
      <c r="M97" s="142">
        <f aca="true" t="shared" si="11" ref="M97:M104">SUM(G97+J97)</f>
        <v>4191</v>
      </c>
      <c r="N97" s="142">
        <f t="shared" si="8"/>
        <v>0</v>
      </c>
      <c r="O97" s="142">
        <f t="shared" si="9"/>
        <v>4191</v>
      </c>
    </row>
    <row r="98" spans="1:15" ht="24.75" customHeight="1">
      <c r="A98" s="275"/>
      <c r="B98" s="275"/>
      <c r="C98" s="287" t="s">
        <v>148</v>
      </c>
      <c r="D98" s="596" t="s">
        <v>1101</v>
      </c>
      <c r="E98" s="517"/>
      <c r="F98" s="122"/>
      <c r="G98" s="698">
        <v>750</v>
      </c>
      <c r="H98" s="698">
        <v>0</v>
      </c>
      <c r="I98" s="698">
        <v>750</v>
      </c>
      <c r="J98" s="142"/>
      <c r="K98" s="141"/>
      <c r="L98" s="142"/>
      <c r="M98" s="142">
        <f t="shared" si="11"/>
        <v>750</v>
      </c>
      <c r="N98" s="142">
        <f t="shared" si="8"/>
        <v>0</v>
      </c>
      <c r="O98" s="142">
        <f t="shared" si="9"/>
        <v>750</v>
      </c>
    </row>
    <row r="99" spans="1:15" ht="15" customHeight="1">
      <c r="A99" s="275"/>
      <c r="B99" s="275"/>
      <c r="C99" s="287" t="s">
        <v>149</v>
      </c>
      <c r="D99" s="596" t="s">
        <v>1102</v>
      </c>
      <c r="E99" s="517"/>
      <c r="F99" s="122" t="s">
        <v>1171</v>
      </c>
      <c r="G99" s="698">
        <v>3000</v>
      </c>
      <c r="H99" s="698">
        <v>0</v>
      </c>
      <c r="I99" s="698">
        <v>3000</v>
      </c>
      <c r="J99" s="142">
        <v>-304</v>
      </c>
      <c r="K99" s="141"/>
      <c r="L99" s="142">
        <v>-304</v>
      </c>
      <c r="M99" s="142">
        <f t="shared" si="11"/>
        <v>2696</v>
      </c>
      <c r="N99" s="142">
        <f t="shared" si="8"/>
        <v>0</v>
      </c>
      <c r="O99" s="142">
        <f t="shared" si="9"/>
        <v>2696</v>
      </c>
    </row>
    <row r="100" spans="1:15" ht="15" customHeight="1">
      <c r="A100" s="275"/>
      <c r="B100" s="275"/>
      <c r="C100" s="280" t="s">
        <v>171</v>
      </c>
      <c r="D100" s="520" t="s">
        <v>172</v>
      </c>
      <c r="E100" s="517"/>
      <c r="F100" s="122"/>
      <c r="G100" s="698"/>
      <c r="H100" s="698"/>
      <c r="I100" s="698"/>
      <c r="J100" s="142"/>
      <c r="K100" s="141"/>
      <c r="L100" s="142"/>
      <c r="M100" s="142"/>
      <c r="N100" s="142"/>
      <c r="O100" s="142"/>
    </row>
    <row r="101" spans="1:15" ht="15" customHeight="1">
      <c r="A101" s="275"/>
      <c r="B101" s="275"/>
      <c r="C101" s="280"/>
      <c r="D101" s="526" t="s">
        <v>265</v>
      </c>
      <c r="E101" s="517"/>
      <c r="F101" s="122"/>
      <c r="G101" s="698"/>
      <c r="H101" s="698"/>
      <c r="I101" s="698"/>
      <c r="J101" s="142"/>
      <c r="K101" s="141"/>
      <c r="L101" s="142"/>
      <c r="M101" s="142"/>
      <c r="N101" s="142"/>
      <c r="O101" s="142"/>
    </row>
    <row r="102" spans="1:15" ht="24.75" customHeight="1">
      <c r="A102" s="275"/>
      <c r="B102" s="275"/>
      <c r="C102" s="487" t="s">
        <v>1103</v>
      </c>
      <c r="D102" s="527" t="s">
        <v>1104</v>
      </c>
      <c r="E102" s="517"/>
      <c r="F102" s="122"/>
      <c r="G102" s="698">
        <v>1000</v>
      </c>
      <c r="H102" s="698">
        <v>0</v>
      </c>
      <c r="I102" s="698">
        <v>1000</v>
      </c>
      <c r="J102" s="142"/>
      <c r="K102" s="141"/>
      <c r="L102" s="142"/>
      <c r="M102" s="142">
        <f t="shared" si="11"/>
        <v>1000</v>
      </c>
      <c r="N102" s="142">
        <f t="shared" si="8"/>
        <v>0</v>
      </c>
      <c r="O102" s="142">
        <f t="shared" si="9"/>
        <v>1000</v>
      </c>
    </row>
    <row r="103" spans="1:15" ht="15" customHeight="1">
      <c r="A103" s="275"/>
      <c r="B103" s="275"/>
      <c r="C103" s="282" t="s">
        <v>173</v>
      </c>
      <c r="D103" s="339" t="s">
        <v>174</v>
      </c>
      <c r="E103" s="517"/>
      <c r="F103" s="122"/>
      <c r="G103" s="698"/>
      <c r="H103" s="698"/>
      <c r="I103" s="698"/>
      <c r="J103" s="142"/>
      <c r="K103" s="141"/>
      <c r="L103" s="142"/>
      <c r="M103" s="142"/>
      <c r="N103" s="142"/>
      <c r="O103" s="142"/>
    </row>
    <row r="104" spans="1:15" ht="15" customHeight="1">
      <c r="A104" s="275"/>
      <c r="B104" s="275"/>
      <c r="C104" s="487" t="s">
        <v>175</v>
      </c>
      <c r="D104" s="527" t="s">
        <v>1105</v>
      </c>
      <c r="E104" s="517"/>
      <c r="F104" s="122" t="s">
        <v>1204</v>
      </c>
      <c r="G104" s="698">
        <v>1500</v>
      </c>
      <c r="H104" s="698">
        <v>0</v>
      </c>
      <c r="I104" s="698">
        <v>1500</v>
      </c>
      <c r="J104" s="142">
        <v>450</v>
      </c>
      <c r="K104" s="141"/>
      <c r="L104" s="142">
        <v>450</v>
      </c>
      <c r="M104" s="142">
        <f t="shared" si="11"/>
        <v>1950</v>
      </c>
      <c r="N104" s="142">
        <f t="shared" si="8"/>
        <v>0</v>
      </c>
      <c r="O104" s="142">
        <f t="shared" si="9"/>
        <v>1950</v>
      </c>
    </row>
    <row r="105" spans="1:15" ht="14.25" customHeight="1">
      <c r="A105" s="132"/>
      <c r="B105" s="132"/>
      <c r="C105" s="124"/>
      <c r="D105" s="374" t="s">
        <v>82</v>
      </c>
      <c r="E105" s="387"/>
      <c r="F105" s="133"/>
      <c r="G105" s="126">
        <f aca="true" t="shared" si="12" ref="G105:L105">SUM(G34:G104)</f>
        <v>229785</v>
      </c>
      <c r="H105" s="126">
        <f t="shared" si="12"/>
        <v>0</v>
      </c>
      <c r="I105" s="126">
        <f t="shared" si="12"/>
        <v>229785</v>
      </c>
      <c r="J105" s="126">
        <f t="shared" si="12"/>
        <v>19958</v>
      </c>
      <c r="K105" s="126">
        <f t="shared" si="12"/>
        <v>0</v>
      </c>
      <c r="L105" s="126">
        <f t="shared" si="12"/>
        <v>19958</v>
      </c>
      <c r="M105" s="126">
        <f>SUM(G105+J105)</f>
        <v>249743</v>
      </c>
      <c r="N105" s="126">
        <f>SUM(H105+K105)</f>
        <v>0</v>
      </c>
      <c r="O105" s="126">
        <f>SUM(I105+L105)</f>
        <v>249743</v>
      </c>
    </row>
    <row r="106" spans="1:15" ht="14.25" customHeight="1">
      <c r="A106" s="132"/>
      <c r="B106" s="275">
        <v>16</v>
      </c>
      <c r="C106" s="140"/>
      <c r="D106" s="375" t="s">
        <v>1106</v>
      </c>
      <c r="E106" s="388"/>
      <c r="F106" s="276"/>
      <c r="G106" s="698"/>
      <c r="H106" s="698"/>
      <c r="I106" s="698"/>
      <c r="J106" s="141"/>
      <c r="K106" s="141"/>
      <c r="L106" s="141"/>
      <c r="M106" s="142"/>
      <c r="N106" s="142"/>
      <c r="O106" s="142"/>
    </row>
    <row r="107" spans="1:15" ht="14.25" customHeight="1">
      <c r="A107" s="132"/>
      <c r="B107" s="275"/>
      <c r="C107" s="282" t="s">
        <v>126</v>
      </c>
      <c r="D107" s="339" t="s">
        <v>1011</v>
      </c>
      <c r="E107" s="388"/>
      <c r="F107" s="276"/>
      <c r="G107" s="698"/>
      <c r="H107" s="698"/>
      <c r="I107" s="698"/>
      <c r="J107" s="141"/>
      <c r="K107" s="141"/>
      <c r="L107" s="141"/>
      <c r="M107" s="142"/>
      <c r="N107" s="142"/>
      <c r="O107" s="142"/>
    </row>
    <row r="108" spans="1:15" ht="14.25" customHeight="1">
      <c r="A108" s="132"/>
      <c r="B108" s="275"/>
      <c r="C108" s="282"/>
      <c r="D108" s="499" t="s">
        <v>265</v>
      </c>
      <c r="E108" s="388"/>
      <c r="F108" s="276"/>
      <c r="G108" s="698"/>
      <c r="H108" s="698"/>
      <c r="I108" s="698"/>
      <c r="J108" s="141"/>
      <c r="K108" s="141"/>
      <c r="L108" s="141"/>
      <c r="M108" s="142"/>
      <c r="N108" s="142"/>
      <c r="O108" s="142"/>
    </row>
    <row r="109" spans="1:15" ht="24.75" customHeight="1">
      <c r="A109" s="132"/>
      <c r="B109" s="275"/>
      <c r="C109" s="287" t="s">
        <v>664</v>
      </c>
      <c r="D109" s="341" t="s">
        <v>665</v>
      </c>
      <c r="E109" s="388"/>
      <c r="F109" s="276"/>
      <c r="G109" s="698">
        <v>10000</v>
      </c>
      <c r="H109" s="698">
        <v>0</v>
      </c>
      <c r="I109" s="698">
        <v>10000</v>
      </c>
      <c r="J109" s="141"/>
      <c r="K109" s="141"/>
      <c r="L109" s="141"/>
      <c r="M109" s="142">
        <f>SUM(G109+J109)</f>
        <v>10000</v>
      </c>
      <c r="N109" s="142">
        <f>SUM(H109+K109)</f>
        <v>0</v>
      </c>
      <c r="O109" s="142">
        <f>SUM(I109+L109)</f>
        <v>10000</v>
      </c>
    </row>
    <row r="110" spans="1:15" ht="14.25" customHeight="1">
      <c r="A110" s="132"/>
      <c r="B110" s="275"/>
      <c r="C110" s="280" t="s">
        <v>173</v>
      </c>
      <c r="D110" s="520" t="s">
        <v>482</v>
      </c>
      <c r="E110" s="388"/>
      <c r="F110" s="276"/>
      <c r="G110" s="698"/>
      <c r="H110" s="698"/>
      <c r="I110" s="698"/>
      <c r="J110" s="141"/>
      <c r="K110" s="141"/>
      <c r="L110" s="141"/>
      <c r="M110" s="142">
        <f>SUM(G110+J110)</f>
        <v>0</v>
      </c>
      <c r="N110" s="142"/>
      <c r="O110" s="142">
        <f>SUM(I110+L110)</f>
        <v>0</v>
      </c>
    </row>
    <row r="111" spans="1:15" ht="14.25" customHeight="1">
      <c r="A111" s="132"/>
      <c r="B111" s="275"/>
      <c r="C111" s="280" t="s">
        <v>719</v>
      </c>
      <c r="D111" s="518" t="s">
        <v>720</v>
      </c>
      <c r="E111" s="388"/>
      <c r="F111" s="488" t="s">
        <v>1171</v>
      </c>
      <c r="G111" s="698"/>
      <c r="H111" s="698"/>
      <c r="I111" s="698"/>
      <c r="J111" s="142">
        <v>6000</v>
      </c>
      <c r="K111" s="142"/>
      <c r="L111" s="142">
        <v>6000</v>
      </c>
      <c r="M111" s="142">
        <f>SUM(G111+J111)</f>
        <v>6000</v>
      </c>
      <c r="N111" s="142"/>
      <c r="O111" s="142">
        <f>SUM(I111+L111)</f>
        <v>6000</v>
      </c>
    </row>
    <row r="112" spans="1:15" ht="14.25" customHeight="1">
      <c r="A112" s="132"/>
      <c r="B112" s="275"/>
      <c r="C112" s="280"/>
      <c r="D112" s="499" t="s">
        <v>265</v>
      </c>
      <c r="E112" s="388"/>
      <c r="F112" s="276"/>
      <c r="G112" s="698"/>
      <c r="H112" s="698"/>
      <c r="I112" s="698"/>
      <c r="J112" s="141"/>
      <c r="K112" s="141"/>
      <c r="L112" s="141"/>
      <c r="M112" s="142"/>
      <c r="N112" s="142"/>
      <c r="O112" s="142"/>
    </row>
    <row r="113" spans="1:15" ht="14.25" customHeight="1">
      <c r="A113" s="132"/>
      <c r="B113" s="275"/>
      <c r="C113" s="279" t="s">
        <v>982</v>
      </c>
      <c r="D113" s="493" t="s">
        <v>985</v>
      </c>
      <c r="E113" s="388"/>
      <c r="F113" s="276"/>
      <c r="G113" s="698"/>
      <c r="H113" s="698">
        <v>8289</v>
      </c>
      <c r="I113" s="698">
        <v>8289</v>
      </c>
      <c r="J113" s="141"/>
      <c r="K113" s="141"/>
      <c r="L113" s="141"/>
      <c r="M113" s="142"/>
      <c r="N113" s="142">
        <f>SUM(H113+K113)</f>
        <v>8289</v>
      </c>
      <c r="O113" s="142">
        <f>SUM(I113+L113)</f>
        <v>8289</v>
      </c>
    </row>
    <row r="114" spans="1:15" ht="14.25" customHeight="1">
      <c r="A114" s="132"/>
      <c r="B114" s="132"/>
      <c r="C114" s="124"/>
      <c r="D114" s="374" t="s">
        <v>507</v>
      </c>
      <c r="E114" s="387"/>
      <c r="F114" s="133"/>
      <c r="G114" s="126">
        <f aca="true" t="shared" si="13" ref="G114:O114">SUM(G109:G113)</f>
        <v>10000</v>
      </c>
      <c r="H114" s="126">
        <f t="shared" si="13"/>
        <v>8289</v>
      </c>
      <c r="I114" s="126">
        <f t="shared" si="13"/>
        <v>18289</v>
      </c>
      <c r="J114" s="126">
        <f t="shared" si="13"/>
        <v>6000</v>
      </c>
      <c r="K114" s="126">
        <f t="shared" si="13"/>
        <v>0</v>
      </c>
      <c r="L114" s="126">
        <f t="shared" si="13"/>
        <v>6000</v>
      </c>
      <c r="M114" s="126">
        <f t="shared" si="13"/>
        <v>16000</v>
      </c>
      <c r="N114" s="126">
        <f t="shared" si="13"/>
        <v>8289</v>
      </c>
      <c r="O114" s="126">
        <f t="shared" si="13"/>
        <v>24289</v>
      </c>
    </row>
    <row r="115" spans="1:15" ht="16.5" customHeight="1">
      <c r="A115" s="134">
        <v>1</v>
      </c>
      <c r="B115" s="134">
        <v>17</v>
      </c>
      <c r="C115" s="120"/>
      <c r="D115" s="376" t="s">
        <v>197</v>
      </c>
      <c r="E115" s="389"/>
      <c r="F115" s="136"/>
      <c r="G115" s="698"/>
      <c r="H115" s="698"/>
      <c r="I115" s="698"/>
      <c r="J115" s="395"/>
      <c r="K115" s="395"/>
      <c r="L115" s="395"/>
      <c r="M115" s="141"/>
      <c r="N115" s="142"/>
      <c r="O115" s="123"/>
    </row>
    <row r="116" spans="1:15" ht="37.5" customHeight="1">
      <c r="A116" s="135"/>
      <c r="B116" s="135"/>
      <c r="C116" s="459" t="s">
        <v>1008</v>
      </c>
      <c r="D116" s="493" t="s">
        <v>986</v>
      </c>
      <c r="E116" s="390"/>
      <c r="F116" s="137"/>
      <c r="G116" s="698">
        <v>20000</v>
      </c>
      <c r="H116" s="698"/>
      <c r="I116" s="698">
        <v>20000</v>
      </c>
      <c r="J116" s="129"/>
      <c r="K116" s="129"/>
      <c r="L116" s="129"/>
      <c r="M116" s="142">
        <f>SUM(G116+J116)</f>
        <v>20000</v>
      </c>
      <c r="N116" s="142"/>
      <c r="O116" s="123">
        <f>SUM(I116+L116)</f>
        <v>20000</v>
      </c>
    </row>
    <row r="117" spans="1:15" ht="24.75" customHeight="1">
      <c r="A117" s="135"/>
      <c r="B117" s="135"/>
      <c r="C117" s="459" t="s">
        <v>120</v>
      </c>
      <c r="D117" s="493" t="s">
        <v>454</v>
      </c>
      <c r="E117" s="390"/>
      <c r="F117" s="137"/>
      <c r="G117" s="698"/>
      <c r="H117" s="698">
        <v>780</v>
      </c>
      <c r="I117" s="698">
        <v>780</v>
      </c>
      <c r="J117" s="129"/>
      <c r="K117" s="129"/>
      <c r="L117" s="129"/>
      <c r="M117" s="142"/>
      <c r="N117" s="142">
        <v>780</v>
      </c>
      <c r="O117" s="123">
        <v>780</v>
      </c>
    </row>
    <row r="118" spans="1:15" ht="15" customHeight="1">
      <c r="A118" s="135"/>
      <c r="B118" s="135"/>
      <c r="C118" s="459"/>
      <c r="D118" s="499" t="s">
        <v>265</v>
      </c>
      <c r="E118" s="390"/>
      <c r="F118" s="137"/>
      <c r="G118" s="698"/>
      <c r="H118" s="698"/>
      <c r="I118" s="698"/>
      <c r="J118" s="129"/>
      <c r="K118" s="129"/>
      <c r="L118" s="129"/>
      <c r="M118" s="123"/>
      <c r="N118" s="142"/>
      <c r="O118" s="123"/>
    </row>
    <row r="119" spans="1:15" ht="48" customHeight="1">
      <c r="A119" s="135"/>
      <c r="B119" s="135"/>
      <c r="C119" s="459" t="s">
        <v>666</v>
      </c>
      <c r="D119" s="493" t="s">
        <v>988</v>
      </c>
      <c r="E119" s="390"/>
      <c r="F119" s="137"/>
      <c r="G119" s="698">
        <v>0</v>
      </c>
      <c r="H119" s="123">
        <v>21560</v>
      </c>
      <c r="I119" s="123">
        <v>21560</v>
      </c>
      <c r="J119" s="129"/>
      <c r="K119" s="129"/>
      <c r="L119" s="129"/>
      <c r="M119" s="123">
        <f>SUM(G119+J119)</f>
        <v>0</v>
      </c>
      <c r="N119" s="142">
        <f>SUM(H119+K119)</f>
        <v>21560</v>
      </c>
      <c r="O119" s="123">
        <f>SUM(I119+L119)</f>
        <v>21560</v>
      </c>
    </row>
    <row r="120" spans="1:15" ht="12" customHeight="1">
      <c r="A120" s="132"/>
      <c r="B120" s="132"/>
      <c r="C120" s="132"/>
      <c r="D120" s="374" t="s">
        <v>516</v>
      </c>
      <c r="E120" s="387"/>
      <c r="F120" s="133"/>
      <c r="G120" s="126">
        <f aca="true" t="shared" si="14" ref="G120:O120">SUM(G116:G119)</f>
        <v>20000</v>
      </c>
      <c r="H120" s="126">
        <f t="shared" si="14"/>
        <v>22340</v>
      </c>
      <c r="I120" s="126">
        <f t="shared" si="14"/>
        <v>42340</v>
      </c>
      <c r="J120" s="126">
        <f t="shared" si="14"/>
        <v>0</v>
      </c>
      <c r="K120" s="126">
        <f t="shared" si="14"/>
        <v>0</v>
      </c>
      <c r="L120" s="126">
        <f t="shared" si="14"/>
        <v>0</v>
      </c>
      <c r="M120" s="126">
        <f t="shared" si="14"/>
        <v>20000</v>
      </c>
      <c r="N120" s="126">
        <f t="shared" si="14"/>
        <v>22340</v>
      </c>
      <c r="O120" s="126">
        <f t="shared" si="14"/>
        <v>42340</v>
      </c>
    </row>
    <row r="121" spans="1:15" ht="12">
      <c r="A121" s="120">
        <v>1</v>
      </c>
      <c r="B121" s="120">
        <v>19</v>
      </c>
      <c r="C121" s="120"/>
      <c r="D121" s="327" t="s">
        <v>198</v>
      </c>
      <c r="E121" s="381"/>
      <c r="F121" s="121"/>
      <c r="G121" s="698"/>
      <c r="H121" s="698"/>
      <c r="I121" s="698"/>
      <c r="J121" s="123"/>
      <c r="K121" s="123"/>
      <c r="L121" s="123"/>
      <c r="M121" s="142"/>
      <c r="N121" s="142"/>
      <c r="O121" s="142"/>
    </row>
    <row r="122" spans="1:15" ht="12.75">
      <c r="A122" s="120"/>
      <c r="B122" s="120"/>
      <c r="C122" s="467" t="s">
        <v>1008</v>
      </c>
      <c r="D122" s="633" t="s">
        <v>1107</v>
      </c>
      <c r="E122" s="381"/>
      <c r="F122" s="121"/>
      <c r="G122" s="698"/>
      <c r="H122" s="698">
        <v>3000</v>
      </c>
      <c r="I122" s="698">
        <v>3000</v>
      </c>
      <c r="J122" s="123"/>
      <c r="K122" s="123"/>
      <c r="L122" s="123"/>
      <c r="M122" s="142"/>
      <c r="N122" s="142">
        <f>SUM(H122+K122)</f>
        <v>3000</v>
      </c>
      <c r="O122" s="142">
        <f>SUM(I122+L122)</f>
        <v>3000</v>
      </c>
    </row>
    <row r="123" spans="1:15" ht="15" customHeight="1">
      <c r="A123" s="120"/>
      <c r="B123" s="120"/>
      <c r="C123" s="463"/>
      <c r="D123" s="469"/>
      <c r="E123" s="364"/>
      <c r="F123" s="210"/>
      <c r="G123" s="698"/>
      <c r="H123" s="698">
        <v>0</v>
      </c>
      <c r="I123" s="698">
        <v>0</v>
      </c>
      <c r="J123" s="141"/>
      <c r="K123" s="141"/>
      <c r="L123" s="141"/>
      <c r="M123" s="142"/>
      <c r="N123" s="142">
        <f>SUM(H123+K123)</f>
        <v>0</v>
      </c>
      <c r="O123" s="142">
        <f>SUM(I123+L123)</f>
        <v>0</v>
      </c>
    </row>
    <row r="124" spans="1:15" ht="13.5">
      <c r="A124" s="132"/>
      <c r="B124" s="132"/>
      <c r="C124" s="132"/>
      <c r="D124" s="374" t="s">
        <v>199</v>
      </c>
      <c r="E124" s="387"/>
      <c r="F124" s="133"/>
      <c r="G124" s="126"/>
      <c r="H124" s="126">
        <f>SUM(H122:H123)</f>
        <v>3000</v>
      </c>
      <c r="I124" s="126">
        <f aca="true" t="shared" si="15" ref="I124:O124">SUM(I122:I123)</f>
        <v>3000</v>
      </c>
      <c r="J124" s="126">
        <f t="shared" si="15"/>
        <v>0</v>
      </c>
      <c r="K124" s="126">
        <f t="shared" si="15"/>
        <v>0</v>
      </c>
      <c r="L124" s="126">
        <f t="shared" si="15"/>
        <v>0</v>
      </c>
      <c r="M124" s="126">
        <f t="shared" si="15"/>
        <v>0</v>
      </c>
      <c r="N124" s="126">
        <f t="shared" si="15"/>
        <v>3000</v>
      </c>
      <c r="O124" s="126">
        <f t="shared" si="15"/>
        <v>3000</v>
      </c>
    </row>
    <row r="125" spans="1:15" s="277" customFormat="1" ht="13.5">
      <c r="A125" s="275">
        <v>1</v>
      </c>
      <c r="B125" s="463">
        <v>22</v>
      </c>
      <c r="C125" s="275"/>
      <c r="D125" s="353" t="s">
        <v>93</v>
      </c>
      <c r="E125" s="364"/>
      <c r="F125" s="210"/>
      <c r="G125" s="141"/>
      <c r="H125" s="141"/>
      <c r="I125" s="141"/>
      <c r="J125" s="141"/>
      <c r="K125" s="141"/>
      <c r="L125" s="141"/>
      <c r="M125" s="142">
        <f>SUM(G125+J125)</f>
        <v>0</v>
      </c>
      <c r="N125" s="142">
        <f>SUM(H125+K125)</f>
        <v>0</v>
      </c>
      <c r="O125" s="142">
        <f>SUM(I125+L125)</f>
        <v>0</v>
      </c>
    </row>
    <row r="126" spans="1:15" s="277" customFormat="1" ht="13.5">
      <c r="A126" s="275"/>
      <c r="B126" s="275"/>
      <c r="C126" s="467"/>
      <c r="D126" s="468"/>
      <c r="E126" s="388"/>
      <c r="F126" s="488"/>
      <c r="G126" s="141"/>
      <c r="H126" s="141"/>
      <c r="I126" s="141"/>
      <c r="J126" s="141"/>
      <c r="K126" s="141"/>
      <c r="L126" s="141"/>
      <c r="M126" s="141"/>
      <c r="N126" s="141"/>
      <c r="O126" s="141"/>
    </row>
    <row r="127" spans="1:15" ht="13.5">
      <c r="A127" s="132"/>
      <c r="B127" s="132"/>
      <c r="C127" s="132"/>
      <c r="D127" s="351" t="s">
        <v>94</v>
      </c>
      <c r="E127" s="361"/>
      <c r="F127" s="198"/>
      <c r="G127" s="126">
        <v>0</v>
      </c>
      <c r="H127" s="126">
        <v>0</v>
      </c>
      <c r="I127" s="126">
        <v>0</v>
      </c>
      <c r="J127" s="126">
        <f>SUM(J125+J126)</f>
        <v>0</v>
      </c>
      <c r="K127" s="126">
        <f>SUM(K126:K126)</f>
        <v>0</v>
      </c>
      <c r="L127" s="126">
        <f>SUM(L126:L126)</f>
        <v>0</v>
      </c>
      <c r="M127" s="126">
        <f aca="true" t="shared" si="16" ref="M127:M132">SUM(G127+J127)</f>
        <v>0</v>
      </c>
      <c r="N127" s="126">
        <f>SUM(H127+K127)</f>
        <v>0</v>
      </c>
      <c r="O127" s="126">
        <f>SUM(I127+L127)</f>
        <v>0</v>
      </c>
    </row>
    <row r="128" spans="1:15" ht="13.5" customHeight="1">
      <c r="A128" s="120">
        <v>1</v>
      </c>
      <c r="B128" s="120">
        <v>31</v>
      </c>
      <c r="C128" s="120"/>
      <c r="D128" s="327" t="s">
        <v>456</v>
      </c>
      <c r="E128" s="381"/>
      <c r="F128" s="121"/>
      <c r="G128" s="698"/>
      <c r="H128" s="698"/>
      <c r="I128" s="698"/>
      <c r="J128" s="123"/>
      <c r="K128" s="123"/>
      <c r="L128" s="123"/>
      <c r="M128" s="123"/>
      <c r="N128" s="141"/>
      <c r="O128" s="123"/>
    </row>
    <row r="129" spans="1:15" ht="13.5" customHeight="1">
      <c r="A129" s="120"/>
      <c r="B129" s="120"/>
      <c r="C129" s="120">
        <v>1</v>
      </c>
      <c r="D129" s="325" t="s">
        <v>1108</v>
      </c>
      <c r="E129" s="382"/>
      <c r="F129" s="122" t="s">
        <v>1169</v>
      </c>
      <c r="G129" s="698">
        <v>15000</v>
      </c>
      <c r="H129" s="698"/>
      <c r="I129" s="698">
        <v>15000</v>
      </c>
      <c r="J129" s="123">
        <v>-5465</v>
      </c>
      <c r="K129" s="123"/>
      <c r="L129" s="123">
        <v>-5465</v>
      </c>
      <c r="M129" s="123">
        <f t="shared" si="16"/>
        <v>9535</v>
      </c>
      <c r="N129" s="141"/>
      <c r="O129" s="123">
        <f>SUM(I129+L129)</f>
        <v>9535</v>
      </c>
    </row>
    <row r="130" spans="1:15" ht="13.5" customHeight="1">
      <c r="A130" s="138"/>
      <c r="B130" s="138"/>
      <c r="C130" s="138"/>
      <c r="D130" s="374" t="s">
        <v>474</v>
      </c>
      <c r="E130" s="387"/>
      <c r="F130" s="133"/>
      <c r="G130" s="126">
        <f aca="true" t="shared" si="17" ref="G130:L130">SUM(G129:G129)</f>
        <v>15000</v>
      </c>
      <c r="H130" s="126">
        <f t="shared" si="17"/>
        <v>0</v>
      </c>
      <c r="I130" s="126">
        <f t="shared" si="17"/>
        <v>15000</v>
      </c>
      <c r="J130" s="126">
        <f t="shared" si="17"/>
        <v>-5465</v>
      </c>
      <c r="K130" s="126">
        <f t="shared" si="17"/>
        <v>0</v>
      </c>
      <c r="L130" s="126">
        <f t="shared" si="17"/>
        <v>-5465</v>
      </c>
      <c r="M130" s="126">
        <f t="shared" si="16"/>
        <v>9535</v>
      </c>
      <c r="N130" s="126">
        <f>SUM(H130+K130)</f>
        <v>0</v>
      </c>
      <c r="O130" s="126">
        <f>SUM(I130+L130)</f>
        <v>9535</v>
      </c>
    </row>
    <row r="131" spans="1:15" ht="13.5" customHeight="1">
      <c r="A131" s="138"/>
      <c r="B131" s="138"/>
      <c r="C131" s="138"/>
      <c r="D131" s="542" t="s">
        <v>611</v>
      </c>
      <c r="E131" s="387"/>
      <c r="F131" s="133"/>
      <c r="G131" s="126">
        <f aca="true" t="shared" si="18" ref="G131:O131">SUM(G12+G26+G31+G105+G114+G120+G124+G127+G130)</f>
        <v>345756</v>
      </c>
      <c r="H131" s="126">
        <f t="shared" si="18"/>
        <v>42299</v>
      </c>
      <c r="I131" s="126">
        <f t="shared" si="18"/>
        <v>388055</v>
      </c>
      <c r="J131" s="126">
        <f t="shared" si="18"/>
        <v>22093</v>
      </c>
      <c r="K131" s="126">
        <f t="shared" si="18"/>
        <v>-1740</v>
      </c>
      <c r="L131" s="126">
        <f t="shared" si="18"/>
        <v>20353</v>
      </c>
      <c r="M131" s="126">
        <f t="shared" si="18"/>
        <v>367849</v>
      </c>
      <c r="N131" s="126">
        <f t="shared" si="18"/>
        <v>40559</v>
      </c>
      <c r="O131" s="126">
        <f t="shared" si="18"/>
        <v>408408</v>
      </c>
    </row>
    <row r="132" spans="1:15" ht="13.5" customHeight="1">
      <c r="A132" s="322"/>
      <c r="B132" s="134"/>
      <c r="C132" s="134"/>
      <c r="D132" s="264" t="s">
        <v>606</v>
      </c>
      <c r="E132" s="391"/>
      <c r="F132" s="139"/>
      <c r="G132" s="129">
        <v>24099</v>
      </c>
      <c r="H132" s="129"/>
      <c r="I132" s="129">
        <v>24099</v>
      </c>
      <c r="J132" s="129">
        <f>'táj.2.'!J45</f>
        <v>24624</v>
      </c>
      <c r="K132" s="129">
        <f>'táj.2.'!H45</f>
        <v>0</v>
      </c>
      <c r="L132" s="129">
        <f>SUM(J132:K132)</f>
        <v>24624</v>
      </c>
      <c r="M132" s="142">
        <f t="shared" si="16"/>
        <v>48723</v>
      </c>
      <c r="N132" s="142">
        <f>SUM(H132+K132)</f>
        <v>0</v>
      </c>
      <c r="O132" s="142">
        <f>SUM(I132+L132)</f>
        <v>48723</v>
      </c>
    </row>
    <row r="133" spans="1:15" ht="13.5" customHeight="1">
      <c r="A133" s="125"/>
      <c r="B133" s="125"/>
      <c r="C133" s="125"/>
      <c r="D133" s="374" t="s">
        <v>476</v>
      </c>
      <c r="E133" s="387"/>
      <c r="F133" s="133"/>
      <c r="G133" s="126">
        <f>SUM(G131+G132)</f>
        <v>369855</v>
      </c>
      <c r="H133" s="126">
        <f>SUM(H131+H132)</f>
        <v>42299</v>
      </c>
      <c r="I133" s="126">
        <f>SUM(I131+I132)</f>
        <v>412154</v>
      </c>
      <c r="J133" s="126">
        <f aca="true" t="shared" si="19" ref="J133:O133">SUM(J131:J132)</f>
        <v>46717</v>
      </c>
      <c r="K133" s="126">
        <f t="shared" si="19"/>
        <v>-1740</v>
      </c>
      <c r="L133" s="126">
        <f t="shared" si="19"/>
        <v>44977</v>
      </c>
      <c r="M133" s="126">
        <f t="shared" si="19"/>
        <v>416572</v>
      </c>
      <c r="N133" s="126">
        <f t="shared" si="19"/>
        <v>40559</v>
      </c>
      <c r="O133" s="126">
        <f t="shared" si="19"/>
        <v>457131</v>
      </c>
    </row>
    <row r="134" spans="1:15" ht="13.5" customHeight="1">
      <c r="A134" s="223" t="s">
        <v>131</v>
      </c>
      <c r="B134" s="223"/>
      <c r="C134" s="223"/>
      <c r="D134" s="223"/>
      <c r="E134" s="88"/>
      <c r="F134" s="88"/>
      <c r="G134" s="89"/>
      <c r="H134" s="91"/>
      <c r="I134" s="89"/>
      <c r="J134" s="89"/>
      <c r="K134" s="89"/>
      <c r="L134" s="89"/>
      <c r="M134" s="89"/>
      <c r="N134" s="90"/>
      <c r="O134" s="90"/>
    </row>
    <row r="135" spans="1:15" ht="13.5" customHeight="1">
      <c r="A135" s="90"/>
      <c r="B135" s="90"/>
      <c r="C135" s="90"/>
      <c r="D135" s="88"/>
      <c r="E135" s="88"/>
      <c r="F135" s="88"/>
      <c r="G135" s="89"/>
      <c r="H135" s="91"/>
      <c r="I135" s="89"/>
      <c r="J135" s="89"/>
      <c r="K135" s="89"/>
      <c r="L135" s="89"/>
      <c r="M135" s="89"/>
      <c r="N135" s="90"/>
      <c r="O135" s="90"/>
    </row>
    <row r="136" spans="1:15" ht="13.5" customHeight="1">
      <c r="A136" s="90"/>
      <c r="B136" s="90"/>
      <c r="C136" s="90"/>
      <c r="D136" s="88"/>
      <c r="E136" s="88"/>
      <c r="F136" s="88"/>
      <c r="G136" s="89"/>
      <c r="H136" s="91"/>
      <c r="I136" s="89"/>
      <c r="J136" s="89"/>
      <c r="K136" s="89"/>
      <c r="L136" s="89"/>
      <c r="M136" s="89"/>
      <c r="N136" s="90"/>
      <c r="O136" s="90"/>
    </row>
    <row r="137" spans="1:3" ht="12">
      <c r="A137" s="92"/>
      <c r="B137" s="93"/>
      <c r="C137" s="93"/>
    </row>
    <row r="138" spans="1:3" ht="12">
      <c r="A138" s="93"/>
      <c r="B138" s="93"/>
      <c r="C138" s="93"/>
    </row>
    <row r="139" spans="1:3" ht="12">
      <c r="A139" s="93"/>
      <c r="B139" s="93"/>
      <c r="C139" s="93"/>
    </row>
  </sheetData>
  <sheetProtection/>
  <mergeCells count="9">
    <mergeCell ref="D30:E30"/>
    <mergeCell ref="G1:I1"/>
    <mergeCell ref="J1:L1"/>
    <mergeCell ref="M1:O1"/>
    <mergeCell ref="F1:F2"/>
    <mergeCell ref="D9:E9"/>
    <mergeCell ref="D10:E10"/>
    <mergeCell ref="D11:E11"/>
    <mergeCell ref="D28:E28"/>
  </mergeCells>
  <printOptions horizontalCentered="1" verticalCentered="1"/>
  <pageMargins left="0.15748031496062992" right="0.15748031496062992" top="0.5905511811023623" bottom="0.8661417322834646" header="0.2362204724409449" footer="0.2362204724409449"/>
  <pageSetup horizontalDpi="300" verticalDpi="300" orientation="landscape" paperSize="9" scale="90" r:id="rId1"/>
  <headerFooter alignWithMargins="0">
    <oddHeader>&amp;C&amp;"Times New Roman CE,Félkövér dőlt"Zalaegerszeg Megyei Jogú Város Önkormányzatának
2012.  évi  felújítási kiadásai célonként az II.  negyedévi előirányzat-módosítás után&amp;R&amp;"Times New Roman CE,Félkövér dőlt"7.sz. melléklet
Adatok:  ezer Ft-ban</oddHeader>
    <oddFooter>&amp;L** kgy= közgyűlési hatáskör
      pm=  polgármesteri hatáskörben
      biz = bizottsági hatáskör&amp;C&amp;P.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56"/>
  <sheetViews>
    <sheetView workbookViewId="0" topLeftCell="B1">
      <pane ySplit="3" topLeftCell="BM22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3.625" style="96" customWidth="1"/>
    <col min="2" max="2" width="4.875" style="96" customWidth="1"/>
    <col min="3" max="3" width="35.125" style="96" customWidth="1"/>
    <col min="4" max="6" width="11.375" style="96" customWidth="1"/>
    <col min="7" max="7" width="8.375" style="96" customWidth="1"/>
    <col min="8" max="8" width="12.125" style="96" customWidth="1"/>
    <col min="9" max="9" width="8.875" style="96" customWidth="1"/>
    <col min="10" max="10" width="9.125" style="96" customWidth="1"/>
    <col min="11" max="11" width="12.875" style="96" customWidth="1"/>
    <col min="12" max="12" width="7.625" style="96" customWidth="1"/>
    <col min="13" max="13" width="10.625" style="96" customWidth="1"/>
    <col min="14" max="14" width="4.875" style="96" customWidth="1"/>
    <col min="15" max="15" width="10.50390625" style="96" customWidth="1"/>
    <col min="16" max="16" width="12.125" style="96" customWidth="1"/>
    <col min="17" max="16384" width="9.375" style="96" customWidth="1"/>
  </cols>
  <sheetData>
    <row r="1" spans="1:16" ht="14.25" thickBot="1">
      <c r="A1" s="789" t="s">
        <v>423</v>
      </c>
      <c r="B1" s="789" t="s">
        <v>427</v>
      </c>
      <c r="C1" s="169"/>
      <c r="D1" s="169"/>
      <c r="E1" s="169"/>
      <c r="F1" s="791" t="s">
        <v>685</v>
      </c>
      <c r="G1" s="791"/>
      <c r="H1" s="791"/>
      <c r="I1" s="791"/>
      <c r="J1" s="791"/>
      <c r="K1" s="791"/>
      <c r="L1" s="843"/>
      <c r="M1" s="843"/>
      <c r="N1" s="791"/>
      <c r="O1" s="791"/>
      <c r="P1" s="169"/>
    </row>
    <row r="2" spans="1:19" s="105" customFormat="1" ht="19.5" customHeight="1" thickBot="1">
      <c r="A2" s="815"/>
      <c r="B2" s="815"/>
      <c r="C2" s="170"/>
      <c r="D2" s="170"/>
      <c r="E2" s="170"/>
      <c r="F2" s="846" t="s">
        <v>252</v>
      </c>
      <c r="G2" s="847"/>
      <c r="H2" s="171" t="s">
        <v>543</v>
      </c>
      <c r="I2" s="147" t="s">
        <v>544</v>
      </c>
      <c r="J2" s="850" t="s">
        <v>246</v>
      </c>
      <c r="K2" s="851"/>
      <c r="L2" s="844" t="s">
        <v>251</v>
      </c>
      <c r="M2" s="845"/>
      <c r="N2" s="848" t="s">
        <v>428</v>
      </c>
      <c r="O2" s="146" t="s">
        <v>545</v>
      </c>
      <c r="P2" s="170"/>
      <c r="Q2" s="104"/>
      <c r="R2" s="104"/>
      <c r="S2" s="104"/>
    </row>
    <row r="3" spans="1:19" s="107" customFormat="1" ht="40.5" customHeight="1">
      <c r="A3" s="790"/>
      <c r="B3" s="815"/>
      <c r="C3" s="546" t="s">
        <v>612</v>
      </c>
      <c r="D3" s="565" t="s">
        <v>615</v>
      </c>
      <c r="E3" s="565" t="s">
        <v>686</v>
      </c>
      <c r="F3" s="563" t="s">
        <v>244</v>
      </c>
      <c r="G3" s="566" t="s">
        <v>245</v>
      </c>
      <c r="H3" s="545" t="s">
        <v>670</v>
      </c>
      <c r="I3" s="548" t="s">
        <v>671</v>
      </c>
      <c r="J3" s="549" t="s">
        <v>208</v>
      </c>
      <c r="K3" s="550" t="s">
        <v>672</v>
      </c>
      <c r="L3" s="564" t="s">
        <v>244</v>
      </c>
      <c r="M3" s="553" t="s">
        <v>245</v>
      </c>
      <c r="N3" s="849"/>
      <c r="O3" s="546" t="s">
        <v>673</v>
      </c>
      <c r="P3" s="565" t="s">
        <v>687</v>
      </c>
      <c r="Q3" s="106"/>
      <c r="R3" s="106"/>
      <c r="S3" s="106"/>
    </row>
    <row r="4" spans="1:19" s="107" customFormat="1" ht="18" customHeight="1">
      <c r="A4" s="569">
        <v>2</v>
      </c>
      <c r="B4" s="570">
        <v>1</v>
      </c>
      <c r="C4" s="572" t="s">
        <v>194</v>
      </c>
      <c r="D4" s="695">
        <v>1468888</v>
      </c>
      <c r="E4" s="262">
        <f>-32070+'táj.1.'!N3</f>
        <v>-109884</v>
      </c>
      <c r="F4" s="261">
        <f>39700+'táj.1.'!D3</f>
        <v>39700</v>
      </c>
      <c r="G4" s="261">
        <f>0+'táj.1.'!E3</f>
        <v>0</v>
      </c>
      <c r="H4" s="263">
        <f>1397118+'táj.1.'!F3</f>
        <v>1319304</v>
      </c>
      <c r="I4" s="557"/>
      <c r="J4" s="261">
        <f>0+'táj.1.'!H3</f>
        <v>0</v>
      </c>
      <c r="K4" s="261">
        <f>0+'táj.1.'!I3</f>
        <v>0</v>
      </c>
      <c r="L4" s="261">
        <f>0+'táj.1.'!J3</f>
        <v>0</v>
      </c>
      <c r="M4" s="261">
        <f>0+'táj.1.'!K3</f>
        <v>0</v>
      </c>
      <c r="N4" s="571"/>
      <c r="O4" s="261">
        <f>0+'táj.1.'!M3</f>
        <v>0</v>
      </c>
      <c r="P4" s="151">
        <f>SUM(D4+E4)</f>
        <v>1359004</v>
      </c>
      <c r="Q4" s="106"/>
      <c r="R4" s="106"/>
      <c r="S4" s="106"/>
    </row>
    <row r="5" spans="1:16" ht="24" customHeight="1">
      <c r="A5" s="555">
        <v>2</v>
      </c>
      <c r="B5" s="555">
        <v>2</v>
      </c>
      <c r="C5" s="471" t="s">
        <v>669</v>
      </c>
      <c r="D5" s="567">
        <v>385335</v>
      </c>
      <c r="E5" s="567">
        <f>0+'táj.1.'!N4</f>
        <v>28356</v>
      </c>
      <c r="F5" s="393">
        <f>58178+'táj.1.'!D4</f>
        <v>58178</v>
      </c>
      <c r="G5" s="393">
        <f>0+'táj.1.'!E4</f>
        <v>4755</v>
      </c>
      <c r="H5" s="568">
        <f>291506+'táj.1.'!F4</f>
        <v>304441</v>
      </c>
      <c r="I5" s="393">
        <f>0+'táj.1.'!G4</f>
        <v>0</v>
      </c>
      <c r="J5" s="393">
        <f>15851+'táj.1.'!H4</f>
        <v>16343</v>
      </c>
      <c r="K5" s="393">
        <f>0+'táj.1.'!I4</f>
        <v>300</v>
      </c>
      <c r="L5" s="393">
        <f>0+'táj.1.'!J4</f>
        <v>0</v>
      </c>
      <c r="M5" s="393">
        <f>0+'táj.1.'!K4</f>
        <v>1245</v>
      </c>
      <c r="N5" s="393">
        <v>0</v>
      </c>
      <c r="O5" s="393">
        <f>19800+'táj.1.'!M4</f>
        <v>28429</v>
      </c>
      <c r="P5" s="378">
        <f>SUM(D5+E5)</f>
        <v>413691</v>
      </c>
    </row>
    <row r="6" spans="1:16" ht="15.75" customHeight="1">
      <c r="A6" s="149">
        <v>2</v>
      </c>
      <c r="B6" s="149">
        <v>3</v>
      </c>
      <c r="C6" s="150" t="s">
        <v>524</v>
      </c>
      <c r="D6" s="261">
        <v>185792</v>
      </c>
      <c r="E6" s="262">
        <f>0+'táj.1.'!N5</f>
        <v>17808</v>
      </c>
      <c r="F6" s="261">
        <f>19074+'táj.1.'!D5</f>
        <v>19109</v>
      </c>
      <c r="G6" s="261">
        <f>0+'táj.1.'!E5</f>
        <v>148</v>
      </c>
      <c r="H6" s="263">
        <f>157693+'táj.1.'!F5</f>
        <v>168232</v>
      </c>
      <c r="I6" s="261">
        <f>0+'táj.1.'!G5</f>
        <v>0</v>
      </c>
      <c r="J6" s="261">
        <f>9025+'táj.1.'!H5</f>
        <v>11643</v>
      </c>
      <c r="K6" s="261">
        <f>0+'táj.1.'!I5</f>
        <v>0</v>
      </c>
      <c r="L6" s="261">
        <f>0+'táj.1.'!J5</f>
        <v>0</v>
      </c>
      <c r="M6" s="261">
        <f>0+'táj.1.'!K5</f>
        <v>0</v>
      </c>
      <c r="N6" s="261">
        <v>0</v>
      </c>
      <c r="O6" s="261">
        <f>0+'táj.1.'!M5</f>
        <v>4468</v>
      </c>
      <c r="P6" s="151">
        <f aca="true" t="shared" si="0" ref="P6:P46">SUM(D6+E6)</f>
        <v>203600</v>
      </c>
    </row>
    <row r="7" spans="1:16" ht="24.75" customHeight="1">
      <c r="A7" s="149">
        <v>2</v>
      </c>
      <c r="B7" s="149">
        <v>4</v>
      </c>
      <c r="C7" s="157" t="s">
        <v>948</v>
      </c>
      <c r="D7" s="261">
        <v>449269</v>
      </c>
      <c r="E7" s="262">
        <f>7670+'táj.1.'!N6</f>
        <v>50227</v>
      </c>
      <c r="F7" s="261">
        <f>49457+'táj.1.'!D6</f>
        <v>49457</v>
      </c>
      <c r="G7" s="261">
        <f>0+'táj.1.'!E6</f>
        <v>54</v>
      </c>
      <c r="H7" s="263">
        <f>390246+'táj.1.'!F6</f>
        <v>409294</v>
      </c>
      <c r="I7" s="261">
        <f>0+'táj.1.'!G6</f>
        <v>0</v>
      </c>
      <c r="J7" s="261">
        <f>13636+'táj.1.'!H6</f>
        <v>20775</v>
      </c>
      <c r="K7" s="261">
        <f>3600+'táj.1.'!I6</f>
        <v>3600</v>
      </c>
      <c r="L7" s="261">
        <f>0+'táj.1.'!J6</f>
        <v>0</v>
      </c>
      <c r="M7" s="261">
        <f>0+'táj.1.'!K6</f>
        <v>0</v>
      </c>
      <c r="N7" s="261">
        <v>0</v>
      </c>
      <c r="O7" s="261">
        <f>0+'táj.1.'!M6</f>
        <v>16316</v>
      </c>
      <c r="P7" s="151">
        <f t="shared" si="0"/>
        <v>499496</v>
      </c>
    </row>
    <row r="8" spans="1:16" ht="15.75" customHeight="1">
      <c r="A8" s="149">
        <v>2</v>
      </c>
      <c r="B8" s="149">
        <v>5</v>
      </c>
      <c r="C8" s="150" t="s">
        <v>527</v>
      </c>
      <c r="D8" s="261">
        <v>168264</v>
      </c>
      <c r="E8" s="262">
        <f>0+'táj.1.'!N7</f>
        <v>6337</v>
      </c>
      <c r="F8" s="261">
        <f>17109+'táj.1.'!D7</f>
        <v>17256</v>
      </c>
      <c r="G8" s="261">
        <f>0+'táj.1.'!E7</f>
        <v>125</v>
      </c>
      <c r="H8" s="263">
        <f>111740+'táj.1.'!F7</f>
        <v>116208</v>
      </c>
      <c r="I8" s="261">
        <f>0+'táj.1.'!G7</f>
        <v>0</v>
      </c>
      <c r="J8" s="261">
        <f>38915+'táj.1.'!H7</f>
        <v>31277</v>
      </c>
      <c r="K8" s="261">
        <f>500+'táj.1.'!I7</f>
        <v>500</v>
      </c>
      <c r="L8" s="261">
        <f>0+'táj.1.'!J7</f>
        <v>0</v>
      </c>
      <c r="M8" s="261">
        <f>0+'táj.1.'!K7</f>
        <v>0</v>
      </c>
      <c r="N8" s="261">
        <v>0</v>
      </c>
      <c r="O8" s="261">
        <f>0+'táj.1.'!M7</f>
        <v>9235</v>
      </c>
      <c r="P8" s="151">
        <f t="shared" si="0"/>
        <v>174601</v>
      </c>
    </row>
    <row r="9" spans="1:16" ht="15.75" customHeight="1">
      <c r="A9" s="149">
        <v>2</v>
      </c>
      <c r="B9" s="149">
        <v>6</v>
      </c>
      <c r="C9" s="150" t="s">
        <v>180</v>
      </c>
      <c r="D9" s="261">
        <v>438900</v>
      </c>
      <c r="E9" s="262">
        <f>4070+'táj.1.'!N8</f>
        <v>7008</v>
      </c>
      <c r="F9" s="261">
        <f>54987+'táj.1.'!D8</f>
        <v>54987</v>
      </c>
      <c r="G9" s="261">
        <f>0+'táj.1.'!E8</f>
        <v>0</v>
      </c>
      <c r="H9" s="263">
        <f>356411+'táj.1.'!F8</f>
        <v>372116</v>
      </c>
      <c r="I9" s="261">
        <f>0+'táj.1.'!G8</f>
        <v>0</v>
      </c>
      <c r="J9" s="261">
        <f>31572+'táj.1.'!H8</f>
        <v>1191</v>
      </c>
      <c r="K9" s="261">
        <f>0+'táj.1.'!I8</f>
        <v>0</v>
      </c>
      <c r="L9" s="261">
        <f>0+'táj.1.'!J8</f>
        <v>0</v>
      </c>
      <c r="M9" s="261">
        <f>0+'táj.1.'!K8</f>
        <v>0</v>
      </c>
      <c r="N9" s="261">
        <v>0</v>
      </c>
      <c r="O9" s="261">
        <f>0+'táj.1.'!M8</f>
        <v>17614</v>
      </c>
      <c r="P9" s="151">
        <f t="shared" si="0"/>
        <v>445908</v>
      </c>
    </row>
    <row r="10" spans="1:16" ht="24" customHeight="1">
      <c r="A10" s="149">
        <v>2</v>
      </c>
      <c r="B10" s="149">
        <v>7</v>
      </c>
      <c r="C10" s="470" t="s">
        <v>567</v>
      </c>
      <c r="D10" s="262">
        <v>372203</v>
      </c>
      <c r="E10" s="262">
        <f>6364+'táj.1.'!N9</f>
        <v>16614</v>
      </c>
      <c r="F10" s="261">
        <f>43806+'táj.1.'!D9</f>
        <v>43806</v>
      </c>
      <c r="G10" s="261">
        <f>0+'táj.1.'!E9</f>
        <v>0</v>
      </c>
      <c r="H10" s="263">
        <f>306123+'táj.1.'!F9</f>
        <v>322263</v>
      </c>
      <c r="I10" s="261">
        <f>0+'táj.1.'!G9</f>
        <v>0</v>
      </c>
      <c r="J10" s="261">
        <f>24638+'táj.1.'!H9</f>
        <v>15791</v>
      </c>
      <c r="K10" s="261">
        <f>0+'táj.1.'!I9</f>
        <v>0</v>
      </c>
      <c r="L10" s="261">
        <f>0+'táj.1.'!J9</f>
        <v>0</v>
      </c>
      <c r="M10" s="261">
        <f>0+'táj.1.'!K9</f>
        <v>920</v>
      </c>
      <c r="N10" s="261">
        <v>0</v>
      </c>
      <c r="O10" s="261">
        <f>0+'táj.1.'!M9</f>
        <v>2037</v>
      </c>
      <c r="P10" s="151">
        <f t="shared" si="0"/>
        <v>388817</v>
      </c>
    </row>
    <row r="11" spans="1:16" ht="15.75" customHeight="1">
      <c r="A11" s="149">
        <v>2</v>
      </c>
      <c r="B11" s="149">
        <v>8</v>
      </c>
      <c r="C11" s="150" t="s">
        <v>528</v>
      </c>
      <c r="D11" s="262">
        <v>210653</v>
      </c>
      <c r="E11" s="262">
        <f>0+'táj.1.'!N10</f>
        <v>9983</v>
      </c>
      <c r="F11" s="261">
        <f>29664+'táj.1.'!D10</f>
        <v>29664</v>
      </c>
      <c r="G11" s="261">
        <f>0+'táj.1.'!E10</f>
        <v>0</v>
      </c>
      <c r="H11" s="263">
        <f>170572+'táj.1.'!F10</f>
        <v>178671</v>
      </c>
      <c r="I11" s="261">
        <f>0+'táj.1.'!G10</f>
        <v>0</v>
      </c>
      <c r="J11" s="261">
        <f>10417+'táj.1.'!H10</f>
        <v>11707</v>
      </c>
      <c r="K11" s="261">
        <f>0+'táj.1.'!I10</f>
        <v>0</v>
      </c>
      <c r="L11" s="261">
        <f>0+'táj.1.'!J10</f>
        <v>0</v>
      </c>
      <c r="M11" s="261">
        <f>0+'táj.1.'!K10</f>
        <v>0</v>
      </c>
      <c r="N11" s="261">
        <v>0</v>
      </c>
      <c r="O11" s="261">
        <f>4000+'táj.1.'!M10</f>
        <v>4594</v>
      </c>
      <c r="P11" s="151">
        <f t="shared" si="0"/>
        <v>220636</v>
      </c>
    </row>
    <row r="12" spans="1:16" ht="15.75" customHeight="1">
      <c r="A12" s="149">
        <v>2</v>
      </c>
      <c r="B12" s="149">
        <v>9</v>
      </c>
      <c r="C12" s="150" t="s">
        <v>525</v>
      </c>
      <c r="D12" s="261">
        <v>96143</v>
      </c>
      <c r="E12" s="262">
        <f>0+'táj.1.'!N11</f>
        <v>8640</v>
      </c>
      <c r="F12" s="261">
        <f>9290+'táj.1.'!D11</f>
        <v>9290</v>
      </c>
      <c r="G12" s="261">
        <f>0+'táj.1.'!E11</f>
        <v>0</v>
      </c>
      <c r="H12" s="263">
        <f>81411+'táj.1.'!F11</f>
        <v>86055</v>
      </c>
      <c r="I12" s="261">
        <f>0+'táj.1.'!G11</f>
        <v>0</v>
      </c>
      <c r="J12" s="261">
        <f>509+'táj.1.'!H11</f>
        <v>559</v>
      </c>
      <c r="K12" s="261">
        <f>0+'táj.1.'!I11</f>
        <v>0</v>
      </c>
      <c r="L12" s="261">
        <f>0+'táj.1.'!J11</f>
        <v>0</v>
      </c>
      <c r="M12" s="261">
        <f>0+'táj.1.'!K11</f>
        <v>0</v>
      </c>
      <c r="N12" s="261">
        <v>0</v>
      </c>
      <c r="O12" s="261">
        <f>4933+'táj.1.'!M11</f>
        <v>8879</v>
      </c>
      <c r="P12" s="151">
        <f t="shared" si="0"/>
        <v>104783</v>
      </c>
    </row>
    <row r="13" spans="1:16" ht="15.75" customHeight="1">
      <c r="A13" s="154"/>
      <c r="B13" s="154"/>
      <c r="C13" s="155" t="s">
        <v>529</v>
      </c>
      <c r="D13" s="156">
        <f>SUM(D5:D12)</f>
        <v>2306559</v>
      </c>
      <c r="E13" s="156">
        <f aca="true" t="shared" si="1" ref="E13:O13">SUM(E5:E12)</f>
        <v>144973</v>
      </c>
      <c r="F13" s="318">
        <f t="shared" si="1"/>
        <v>281747</v>
      </c>
      <c r="G13" s="318">
        <f t="shared" si="1"/>
        <v>5082</v>
      </c>
      <c r="H13" s="318">
        <f t="shared" si="1"/>
        <v>1957280</v>
      </c>
      <c r="I13" s="318">
        <f t="shared" si="1"/>
        <v>0</v>
      </c>
      <c r="J13" s="318">
        <f t="shared" si="1"/>
        <v>109286</v>
      </c>
      <c r="K13" s="318">
        <f t="shared" si="1"/>
        <v>4400</v>
      </c>
      <c r="L13" s="318">
        <f t="shared" si="1"/>
        <v>0</v>
      </c>
      <c r="M13" s="318">
        <f t="shared" si="1"/>
        <v>2165</v>
      </c>
      <c r="N13" s="318">
        <f t="shared" si="1"/>
        <v>0</v>
      </c>
      <c r="O13" s="318">
        <f t="shared" si="1"/>
        <v>91572</v>
      </c>
      <c r="P13" s="156">
        <f t="shared" si="0"/>
        <v>2451532</v>
      </c>
    </row>
    <row r="14" spans="1:16" ht="15.75" customHeight="1">
      <c r="A14" s="149">
        <v>2</v>
      </c>
      <c r="B14" s="149">
        <v>10</v>
      </c>
      <c r="C14" s="150" t="s">
        <v>530</v>
      </c>
      <c r="D14" s="261">
        <v>287845</v>
      </c>
      <c r="E14" s="262">
        <f>0+'táj.1.'!N13</f>
        <v>32405</v>
      </c>
      <c r="F14" s="261">
        <f>34275+'táj.1.'!D13</f>
        <v>36147</v>
      </c>
      <c r="G14" s="261">
        <f>0+'táj.1.'!E13</f>
        <v>0</v>
      </c>
      <c r="H14" s="263">
        <f>253570+'táj.1.'!F13</f>
        <v>262075</v>
      </c>
      <c r="I14" s="261">
        <f>0+'táj.1.'!G13</f>
        <v>0</v>
      </c>
      <c r="J14" s="261">
        <f>0+'táj.1.'!H13</f>
        <v>686</v>
      </c>
      <c r="K14" s="261">
        <f>0+'táj.1.'!I13</f>
        <v>0</v>
      </c>
      <c r="L14" s="261">
        <f>0+'táj.1.'!J13</f>
        <v>0</v>
      </c>
      <c r="M14" s="261">
        <f>0+'táj.1.'!K13</f>
        <v>0</v>
      </c>
      <c r="N14" s="261">
        <v>0</v>
      </c>
      <c r="O14" s="261">
        <f>0+'táj.1.'!M13</f>
        <v>21342</v>
      </c>
      <c r="P14" s="151">
        <f t="shared" si="0"/>
        <v>320250</v>
      </c>
    </row>
    <row r="15" spans="1:16" ht="15.75" customHeight="1">
      <c r="A15" s="149">
        <v>2</v>
      </c>
      <c r="B15" s="149">
        <v>11</v>
      </c>
      <c r="C15" s="150" t="s">
        <v>531</v>
      </c>
      <c r="D15" s="261">
        <v>253851</v>
      </c>
      <c r="E15" s="262">
        <f>2426+'táj.1.'!N14</f>
        <v>18262</v>
      </c>
      <c r="F15" s="261">
        <f>41353+'táj.1.'!D14</f>
        <v>41999</v>
      </c>
      <c r="G15" s="261">
        <f>814+'táj.1.'!E14</f>
        <v>814</v>
      </c>
      <c r="H15" s="263">
        <f>196572+'táj.1.'!F14</f>
        <v>204305</v>
      </c>
      <c r="I15" s="261">
        <f>0+'táj.1.'!G14</f>
        <v>0</v>
      </c>
      <c r="J15" s="261">
        <f>14887+'táj.1.'!H14</f>
        <v>16181</v>
      </c>
      <c r="K15" s="261">
        <f>0+'táj.1.'!I14</f>
        <v>355</v>
      </c>
      <c r="L15" s="261">
        <f>0+'táj.1.'!J14</f>
        <v>98</v>
      </c>
      <c r="M15" s="261">
        <f>0+'táj.1.'!K14</f>
        <v>0</v>
      </c>
      <c r="N15" s="261">
        <v>0</v>
      </c>
      <c r="O15" s="261">
        <f>2651+'táj.1.'!M14</f>
        <v>8361</v>
      </c>
      <c r="P15" s="151">
        <f t="shared" si="0"/>
        <v>272113</v>
      </c>
    </row>
    <row r="16" spans="1:16" ht="15.75" customHeight="1">
      <c r="A16" s="149">
        <v>2</v>
      </c>
      <c r="B16" s="149">
        <v>12</v>
      </c>
      <c r="C16" s="150" t="s">
        <v>101</v>
      </c>
      <c r="D16" s="261">
        <v>212952</v>
      </c>
      <c r="E16" s="262">
        <f>0+'táj.1.'!N15</f>
        <v>14331</v>
      </c>
      <c r="F16" s="261">
        <f>23002+'táj.1.'!D15</f>
        <v>23002</v>
      </c>
      <c r="G16" s="261">
        <f>0+'táj.1.'!E15</f>
        <v>0</v>
      </c>
      <c r="H16" s="263">
        <f>168628+'táj.1.'!F15</f>
        <v>173633</v>
      </c>
      <c r="I16" s="261">
        <f>0+'táj.1.'!G15</f>
        <v>0</v>
      </c>
      <c r="J16" s="261">
        <f>3870+'táj.1.'!H15</f>
        <v>3870</v>
      </c>
      <c r="K16" s="261">
        <f>0+'táj.1.'!I15</f>
        <v>0</v>
      </c>
      <c r="L16" s="261">
        <f>0+'táj.1.'!J15</f>
        <v>0</v>
      </c>
      <c r="M16" s="261">
        <f>0+'táj.1.'!K15</f>
        <v>0</v>
      </c>
      <c r="N16" s="261">
        <v>0</v>
      </c>
      <c r="O16" s="261">
        <f>17452+'táj.1.'!M15</f>
        <v>26778</v>
      </c>
      <c r="P16" s="151">
        <f t="shared" si="0"/>
        <v>227283</v>
      </c>
    </row>
    <row r="17" spans="1:16" ht="15.75" customHeight="1">
      <c r="A17" s="149">
        <v>2</v>
      </c>
      <c r="B17" s="149">
        <v>13</v>
      </c>
      <c r="C17" s="150" t="s">
        <v>532</v>
      </c>
      <c r="D17" s="261">
        <v>233306</v>
      </c>
      <c r="E17" s="262">
        <f>1723+'táj.1.'!N16</f>
        <v>25528</v>
      </c>
      <c r="F17" s="261">
        <f>19358+'táj.1.'!D16</f>
        <v>19358</v>
      </c>
      <c r="G17" s="261">
        <f>0+'táj.1.'!E16</f>
        <v>4014</v>
      </c>
      <c r="H17" s="263">
        <f>200175+'táj.1.'!F16</f>
        <v>208190</v>
      </c>
      <c r="I17" s="261">
        <f>0+'táj.1.'!G16</f>
        <v>0</v>
      </c>
      <c r="J17" s="261">
        <f>6996+'táj.1.'!H16</f>
        <v>6996</v>
      </c>
      <c r="K17" s="261">
        <f>0+'táj.1.'!I16</f>
        <v>0</v>
      </c>
      <c r="L17" s="261">
        <f>0+'táj.1.'!J16</f>
        <v>0</v>
      </c>
      <c r="M17" s="261">
        <f>5000+'táj.1.'!K16</f>
        <v>16056</v>
      </c>
      <c r="N17" s="261">
        <v>0</v>
      </c>
      <c r="O17" s="261">
        <f>3500+'táj.1.'!M16</f>
        <v>4220</v>
      </c>
      <c r="P17" s="151">
        <f t="shared" si="0"/>
        <v>258834</v>
      </c>
    </row>
    <row r="18" spans="1:16" ht="24" customHeight="1">
      <c r="A18" s="149">
        <v>2</v>
      </c>
      <c r="B18" s="149">
        <v>14</v>
      </c>
      <c r="C18" s="157" t="s">
        <v>156</v>
      </c>
      <c r="D18" s="261">
        <v>514073</v>
      </c>
      <c r="E18" s="262">
        <f>43794+'táj.1.'!N17</f>
        <v>92073</v>
      </c>
      <c r="F18" s="261">
        <f>58767+'táj.1.'!D17</f>
        <v>55673</v>
      </c>
      <c r="G18" s="261">
        <f>0+'táj.1.'!E17</f>
        <v>0</v>
      </c>
      <c r="H18" s="263">
        <f>438632+'táj.1.'!F17</f>
        <v>461524</v>
      </c>
      <c r="I18" s="261">
        <f>0+'táj.1.'!G17</f>
        <v>0</v>
      </c>
      <c r="J18" s="261">
        <f>22853+'táj.1.'!H17</f>
        <v>31652</v>
      </c>
      <c r="K18" s="261">
        <f>0+'táj.1.'!I17</f>
        <v>3199</v>
      </c>
      <c r="L18" s="261">
        <f>0+'táj.1.'!J17</f>
        <v>0</v>
      </c>
      <c r="M18" s="261">
        <f>32615+'táj.1.'!K17</f>
        <v>32615</v>
      </c>
      <c r="N18" s="261">
        <v>0</v>
      </c>
      <c r="O18" s="261">
        <f>5000+'táj.1.'!M17</f>
        <v>21483</v>
      </c>
      <c r="P18" s="151">
        <f t="shared" si="0"/>
        <v>606146</v>
      </c>
    </row>
    <row r="19" spans="1:16" ht="25.5" customHeight="1">
      <c r="A19" s="149">
        <v>2</v>
      </c>
      <c r="B19" s="149">
        <v>15</v>
      </c>
      <c r="C19" s="470" t="s">
        <v>668</v>
      </c>
      <c r="D19" s="261">
        <v>441168</v>
      </c>
      <c r="E19" s="262">
        <f>9499+'táj.1.'!N18</f>
        <v>27836</v>
      </c>
      <c r="F19" s="261">
        <f>60166+'táj.1.'!D18</f>
        <v>60036</v>
      </c>
      <c r="G19" s="261">
        <f>873+'táj.1.'!E18</f>
        <v>953</v>
      </c>
      <c r="H19" s="263">
        <f>363701+'táj.1.'!F18</f>
        <v>378720</v>
      </c>
      <c r="I19" s="261">
        <f>0+'táj.1.'!G18</f>
        <v>0</v>
      </c>
      <c r="J19" s="261">
        <f>12015+'táj.1.'!H18</f>
        <v>13218</v>
      </c>
      <c r="K19" s="261">
        <f>0+'táj.1.'!I18</f>
        <v>0</v>
      </c>
      <c r="L19" s="261">
        <f>0+'táj.1.'!J18</f>
        <v>130</v>
      </c>
      <c r="M19" s="261">
        <f>6304+'táj.1.'!K18</f>
        <v>6304</v>
      </c>
      <c r="N19" s="261">
        <v>0</v>
      </c>
      <c r="O19" s="261">
        <f>7608+'táj.1.'!M18</f>
        <v>9643</v>
      </c>
      <c r="P19" s="151">
        <f t="shared" si="0"/>
        <v>469004</v>
      </c>
    </row>
    <row r="20" spans="1:16" ht="15.75" customHeight="1">
      <c r="A20" s="149">
        <v>2</v>
      </c>
      <c r="B20" s="149">
        <v>16</v>
      </c>
      <c r="C20" s="157" t="s">
        <v>253</v>
      </c>
      <c r="D20" s="261">
        <v>461128</v>
      </c>
      <c r="E20" s="262">
        <f>10625+'táj.1.'!N19</f>
        <v>37515</v>
      </c>
      <c r="F20" s="261">
        <f>95371+'táj.1.'!D19</f>
        <v>95371</v>
      </c>
      <c r="G20" s="261">
        <f>700+'táj.1.'!E19</f>
        <v>700</v>
      </c>
      <c r="H20" s="263">
        <f>327643+'táj.1.'!F19</f>
        <v>342146</v>
      </c>
      <c r="I20" s="261">
        <f>0+'táj.1.'!G19</f>
        <v>0</v>
      </c>
      <c r="J20" s="261">
        <f>22397+'táj.1.'!H19</f>
        <v>27873</v>
      </c>
      <c r="K20" s="261">
        <f>1599+'táj.1.'!I19</f>
        <v>1599</v>
      </c>
      <c r="L20" s="261">
        <f>8100+'táj.1.'!J19</f>
        <v>8100</v>
      </c>
      <c r="M20" s="261">
        <f>4339+'táj.1.'!K19</f>
        <v>4339</v>
      </c>
      <c r="N20" s="261">
        <v>0</v>
      </c>
      <c r="O20" s="261">
        <f>11604+'táj.1.'!M19</f>
        <v>18515</v>
      </c>
      <c r="P20" s="151">
        <f t="shared" si="0"/>
        <v>498643</v>
      </c>
    </row>
    <row r="21" spans="1:16" ht="15.75" customHeight="1">
      <c r="A21" s="149">
        <v>2</v>
      </c>
      <c r="B21" s="149">
        <v>17</v>
      </c>
      <c r="C21" s="150" t="s">
        <v>667</v>
      </c>
      <c r="D21" s="261">
        <v>323413</v>
      </c>
      <c r="E21" s="262">
        <f>0+'táj.1.'!N20</f>
        <v>16409</v>
      </c>
      <c r="F21" s="261">
        <f>49654+'táj.1.'!D20</f>
        <v>49654</v>
      </c>
      <c r="G21" s="261">
        <f>0+'táj.1.'!E20</f>
        <v>0</v>
      </c>
      <c r="H21" s="263">
        <f>265001+'táj.1.'!F20</f>
        <v>270419</v>
      </c>
      <c r="I21" s="261">
        <f>0+'táj.1.'!G20</f>
        <v>0</v>
      </c>
      <c r="J21" s="261">
        <f>8758+'táj.1.'!H20</f>
        <v>8818</v>
      </c>
      <c r="K21" s="261">
        <f>0+'táj.1.'!I20</f>
        <v>0</v>
      </c>
      <c r="L21" s="261">
        <f>0+'táj.1.'!J20</f>
        <v>0</v>
      </c>
      <c r="M21" s="261">
        <f>0+'táj.1.'!K20</f>
        <v>0</v>
      </c>
      <c r="N21" s="261">
        <v>0</v>
      </c>
      <c r="O21" s="261">
        <f>0+'táj.1.'!M20</f>
        <v>10931</v>
      </c>
      <c r="P21" s="151">
        <f t="shared" si="0"/>
        <v>339822</v>
      </c>
    </row>
    <row r="22" spans="1:16" ht="15.75" customHeight="1">
      <c r="A22" s="154"/>
      <c r="B22" s="154"/>
      <c r="C22" s="155" t="s">
        <v>100</v>
      </c>
      <c r="D22" s="156">
        <f>SUM(D14:D21)</f>
        <v>2727736</v>
      </c>
      <c r="E22" s="156">
        <f>SUM(E14:E21)</f>
        <v>264359</v>
      </c>
      <c r="F22" s="318">
        <f>SUM(F14:F21)</f>
        <v>381240</v>
      </c>
      <c r="G22" s="318">
        <f>SUM(G14:G21)</f>
        <v>6481</v>
      </c>
      <c r="H22" s="318">
        <f aca="true" t="shared" si="2" ref="H22:O22">SUM(H14:H21)</f>
        <v>2301012</v>
      </c>
      <c r="I22" s="318">
        <f t="shared" si="2"/>
        <v>0</v>
      </c>
      <c r="J22" s="318">
        <f t="shared" si="2"/>
        <v>109294</v>
      </c>
      <c r="K22" s="318">
        <f t="shared" si="2"/>
        <v>5153</v>
      </c>
      <c r="L22" s="318">
        <f t="shared" si="2"/>
        <v>8328</v>
      </c>
      <c r="M22" s="318">
        <f t="shared" si="2"/>
        <v>59314</v>
      </c>
      <c r="N22" s="318">
        <f t="shared" si="2"/>
        <v>0</v>
      </c>
      <c r="O22" s="318">
        <f t="shared" si="2"/>
        <v>121273</v>
      </c>
      <c r="P22" s="156">
        <f t="shared" si="0"/>
        <v>2992095</v>
      </c>
    </row>
    <row r="23" spans="1:16" ht="18" customHeight="1">
      <c r="A23" s="158"/>
      <c r="B23" s="158"/>
      <c r="C23" s="155" t="s">
        <v>533</v>
      </c>
      <c r="D23" s="159">
        <f>SUM(D13+D22)</f>
        <v>5034295</v>
      </c>
      <c r="E23" s="159">
        <f>SUM(E13+E22)</f>
        <v>409332</v>
      </c>
      <c r="F23" s="318">
        <f>SUM(F13+F22)</f>
        <v>662987</v>
      </c>
      <c r="G23" s="318">
        <f>SUM(G13+G22)</f>
        <v>11563</v>
      </c>
      <c r="H23" s="318">
        <f aca="true" t="shared" si="3" ref="H23:O23">SUM(H13+H22)</f>
        <v>4258292</v>
      </c>
      <c r="I23" s="318">
        <f t="shared" si="3"/>
        <v>0</v>
      </c>
      <c r="J23" s="318">
        <f t="shared" si="3"/>
        <v>218580</v>
      </c>
      <c r="K23" s="318">
        <f t="shared" si="3"/>
        <v>9553</v>
      </c>
      <c r="L23" s="318">
        <f t="shared" si="3"/>
        <v>8328</v>
      </c>
      <c r="M23" s="318">
        <f t="shared" si="3"/>
        <v>61479</v>
      </c>
      <c r="N23" s="318">
        <f t="shared" si="3"/>
        <v>0</v>
      </c>
      <c r="O23" s="318">
        <f t="shared" si="3"/>
        <v>212845</v>
      </c>
      <c r="P23" s="156">
        <f t="shared" si="0"/>
        <v>5443627</v>
      </c>
    </row>
    <row r="24" spans="1:16" ht="15.75" customHeight="1">
      <c r="A24" s="149">
        <v>2</v>
      </c>
      <c r="B24" s="149">
        <v>18</v>
      </c>
      <c r="C24" s="150" t="s">
        <v>526</v>
      </c>
      <c r="D24" s="261">
        <v>727515</v>
      </c>
      <c r="E24" s="262">
        <f>0+'táj.1.'!N23</f>
        <v>213448</v>
      </c>
      <c r="F24" s="261">
        <f>119082+'táj.1.'!D23</f>
        <v>181242</v>
      </c>
      <c r="G24" s="261">
        <f>0+'táj.1.'!E23</f>
        <v>0</v>
      </c>
      <c r="H24" s="263">
        <f>357134+'táj.1.'!F23</f>
        <v>406817</v>
      </c>
      <c r="I24" s="261">
        <f>217882+'táj.1.'!G23</f>
        <v>217882</v>
      </c>
      <c r="J24" s="261">
        <f>16674+'táj.1.'!H23</f>
        <v>76550</v>
      </c>
      <c r="K24" s="261">
        <f>0+'táj.1.'!I23</f>
        <v>590</v>
      </c>
      <c r="L24" s="261">
        <f>0+'táj.1.'!J23</f>
        <v>0</v>
      </c>
      <c r="M24" s="261">
        <f>0+'táj.1.'!K23</f>
        <v>0</v>
      </c>
      <c r="N24" s="261">
        <v>0</v>
      </c>
      <c r="O24" s="261">
        <f>16743+'táj.1.'!M23</f>
        <v>57882</v>
      </c>
      <c r="P24" s="151">
        <f t="shared" si="0"/>
        <v>940963</v>
      </c>
    </row>
    <row r="25" spans="1:16" ht="15.75" customHeight="1">
      <c r="A25" s="149"/>
      <c r="B25" s="634" t="s">
        <v>1109</v>
      </c>
      <c r="C25" s="150" t="s">
        <v>534</v>
      </c>
      <c r="D25" s="261">
        <v>335421</v>
      </c>
      <c r="E25" s="262">
        <f>0+'táj.1.'!N24</f>
        <v>13308</v>
      </c>
      <c r="F25" s="261">
        <f>96702+'táj.1.'!D24</f>
        <v>106702</v>
      </c>
      <c r="G25" s="261">
        <f>0+'táj.1.'!E24</f>
        <v>0</v>
      </c>
      <c r="H25" s="263">
        <f>212233+'táj.1.'!F24</f>
        <v>222053</v>
      </c>
      <c r="I25" s="261">
        <f>0+'táj.1.'!G24</f>
        <v>0</v>
      </c>
      <c r="J25" s="261">
        <f>12486+'táj.1.'!H24</f>
        <v>19774</v>
      </c>
      <c r="K25" s="261">
        <f>0+'táj.1.'!I24</f>
        <v>200</v>
      </c>
      <c r="L25" s="261">
        <f>0+'táj.1.'!J24</f>
        <v>0</v>
      </c>
      <c r="M25" s="261">
        <f>0+'táj.1.'!K24</f>
        <v>0</v>
      </c>
      <c r="N25" s="261">
        <v>0</v>
      </c>
      <c r="O25" s="261">
        <f>14000+'táj.1.'!M24</f>
        <v>0</v>
      </c>
      <c r="P25" s="151">
        <f t="shared" si="0"/>
        <v>348729</v>
      </c>
    </row>
    <row r="26" spans="1:16" ht="15.75" customHeight="1">
      <c r="A26" s="149"/>
      <c r="B26" s="634" t="s">
        <v>1110</v>
      </c>
      <c r="C26" s="150" t="s">
        <v>688</v>
      </c>
      <c r="D26" s="261">
        <v>94565</v>
      </c>
      <c r="E26" s="262">
        <f>0+'táj.1.'!N25</f>
        <v>8245</v>
      </c>
      <c r="F26" s="261">
        <f>877+'táj.1.'!D25</f>
        <v>1037</v>
      </c>
      <c r="G26" s="261">
        <f>0+'táj.1.'!E25</f>
        <v>0</v>
      </c>
      <c r="H26" s="263">
        <f>86757+'táj.1.'!F25</f>
        <v>92154</v>
      </c>
      <c r="I26" s="261">
        <f>0+'táj.1.'!G25</f>
        <v>0</v>
      </c>
      <c r="J26" s="261">
        <f>4188+'táj.1.'!H25</f>
        <v>9229</v>
      </c>
      <c r="K26" s="261">
        <f>0+'táj.1.'!I25</f>
        <v>390</v>
      </c>
      <c r="L26" s="261">
        <f>0+'táj.1.'!J25</f>
        <v>0</v>
      </c>
      <c r="M26" s="261">
        <f>0+'táj.1.'!K25</f>
        <v>0</v>
      </c>
      <c r="N26" s="261">
        <v>0</v>
      </c>
      <c r="O26" s="261">
        <f>2743+'táj.1.'!M25</f>
        <v>0</v>
      </c>
      <c r="P26" s="151">
        <f t="shared" si="0"/>
        <v>102810</v>
      </c>
    </row>
    <row r="27" spans="1:16" ht="15.75" customHeight="1">
      <c r="A27" s="149"/>
      <c r="B27" s="634" t="s">
        <v>1111</v>
      </c>
      <c r="C27" s="150" t="s">
        <v>689</v>
      </c>
      <c r="D27" s="261">
        <v>242606</v>
      </c>
      <c r="E27" s="262">
        <f>0+'táj.1.'!N26</f>
        <v>77144</v>
      </c>
      <c r="F27" s="261">
        <f>1411+'táj.1.'!D26</f>
        <v>1411</v>
      </c>
      <c r="G27" s="261">
        <f>0+'táj.1.'!E26</f>
        <v>0</v>
      </c>
      <c r="H27" s="263">
        <f>34831+'táj.1.'!F26</f>
        <v>64428</v>
      </c>
      <c r="I27" s="261">
        <f>217882+'táj.1.'!G26</f>
        <v>217882</v>
      </c>
      <c r="J27" s="261">
        <f>0+'táj.1.'!H26</f>
        <v>47547</v>
      </c>
      <c r="K27" s="261">
        <f>0+'táj.1.'!I26</f>
        <v>0</v>
      </c>
      <c r="L27" s="261">
        <f>0+'táj.1.'!J26</f>
        <v>0</v>
      </c>
      <c r="M27" s="261">
        <f>0+'táj.1.'!K26</f>
        <v>0</v>
      </c>
      <c r="N27" s="261">
        <v>0</v>
      </c>
      <c r="O27" s="261">
        <f>0+'táj.1.'!M26</f>
        <v>0</v>
      </c>
      <c r="P27" s="151">
        <f t="shared" si="0"/>
        <v>319750</v>
      </c>
    </row>
    <row r="28" spans="1:16" ht="15.75" customHeight="1">
      <c r="A28" s="149"/>
      <c r="B28" s="634" t="s">
        <v>1112</v>
      </c>
      <c r="C28" s="150" t="s">
        <v>675</v>
      </c>
      <c r="D28" s="261">
        <v>54923</v>
      </c>
      <c r="E28" s="262">
        <f>0+'táj.1.'!N27</f>
        <v>114751</v>
      </c>
      <c r="F28" s="261">
        <f>20092+'táj.1.'!D27</f>
        <v>72092</v>
      </c>
      <c r="G28" s="261">
        <f>0+'táj.1.'!E27</f>
        <v>0</v>
      </c>
      <c r="H28" s="263">
        <f>23313+'táj.1.'!F27</f>
        <v>28182</v>
      </c>
      <c r="I28" s="261">
        <f>0+'táj.1.'!G27</f>
        <v>0</v>
      </c>
      <c r="J28" s="261">
        <f>0+'táj.1.'!H27</f>
        <v>0</v>
      </c>
      <c r="K28" s="261">
        <f>0+'táj.1.'!I27</f>
        <v>0</v>
      </c>
      <c r="L28" s="261">
        <f>0+'táj.1.'!J27</f>
        <v>0</v>
      </c>
      <c r="M28" s="261">
        <f>0+'táj.1.'!K27</f>
        <v>0</v>
      </c>
      <c r="N28" s="261">
        <v>0</v>
      </c>
      <c r="O28" s="261">
        <f>0+'táj.1.'!M27</f>
        <v>57882</v>
      </c>
      <c r="P28" s="151">
        <f t="shared" si="0"/>
        <v>169674</v>
      </c>
    </row>
    <row r="29" spans="1:16" ht="15.75" customHeight="1">
      <c r="A29" s="149">
        <v>2</v>
      </c>
      <c r="B29" s="635">
        <v>19</v>
      </c>
      <c r="C29" s="150" t="s">
        <v>537</v>
      </c>
      <c r="D29" s="261">
        <v>496640</v>
      </c>
      <c r="E29" s="262">
        <f>411+'táj.1.'!N28</f>
        <v>47077</v>
      </c>
      <c r="F29" s="261">
        <f>192753+'táj.1.'!D28</f>
        <v>192753</v>
      </c>
      <c r="G29" s="261">
        <f>0+'táj.1.'!E28</f>
        <v>0</v>
      </c>
      <c r="H29" s="263">
        <f>266933+'táj.1.'!F28</f>
        <v>278823</v>
      </c>
      <c r="I29" s="261">
        <f>0+'táj.1.'!G28</f>
        <v>0</v>
      </c>
      <c r="J29" s="261">
        <f>22365+'táj.1.'!H28</f>
        <v>22845</v>
      </c>
      <c r="K29" s="261">
        <f>0+'táj.1.'!I28</f>
        <v>0</v>
      </c>
      <c r="L29" s="261">
        <f>0+'táj.1.'!J28</f>
        <v>0</v>
      </c>
      <c r="M29" s="261">
        <f>0+'táj.1.'!K28</f>
        <v>0</v>
      </c>
      <c r="N29" s="261">
        <v>0</v>
      </c>
      <c r="O29" s="261">
        <f>15000+'táj.1.'!M28</f>
        <v>49296</v>
      </c>
      <c r="P29" s="151">
        <f t="shared" si="0"/>
        <v>543717</v>
      </c>
    </row>
    <row r="30" spans="1:16" ht="15.75" customHeight="1">
      <c r="A30" s="149">
        <v>2</v>
      </c>
      <c r="B30" s="635">
        <v>20</v>
      </c>
      <c r="C30" s="150" t="s">
        <v>538</v>
      </c>
      <c r="D30" s="261">
        <v>850034</v>
      </c>
      <c r="E30" s="262">
        <f>0+'táj.1.'!N29</f>
        <v>39459</v>
      </c>
      <c r="F30" s="261">
        <f>106508+'táj.1.'!D29</f>
        <v>106508</v>
      </c>
      <c r="G30" s="261">
        <f>0+'táj.1.'!E29</f>
        <v>0</v>
      </c>
      <c r="H30" s="263">
        <f>699766+'táj.1.'!F29</f>
        <v>722786</v>
      </c>
      <c r="I30" s="261">
        <f>0+'táj.1.'!G29</f>
        <v>0</v>
      </c>
      <c r="J30" s="261">
        <f>35739+'táj.1.'!H29</f>
        <v>47236</v>
      </c>
      <c r="K30" s="261">
        <f>0+'táj.1.'!I29</f>
        <v>0</v>
      </c>
      <c r="L30" s="261">
        <f>0+'táj.1.'!J29</f>
        <v>0</v>
      </c>
      <c r="M30" s="261">
        <f>0+'táj.1.'!K29</f>
        <v>0</v>
      </c>
      <c r="N30" s="261">
        <v>0</v>
      </c>
      <c r="O30" s="261">
        <f>8021+'táj.1.'!M29</f>
        <v>12963</v>
      </c>
      <c r="P30" s="151">
        <f t="shared" si="0"/>
        <v>889493</v>
      </c>
    </row>
    <row r="31" spans="1:16" ht="15.75" customHeight="1">
      <c r="A31" s="149"/>
      <c r="B31" s="634" t="s">
        <v>994</v>
      </c>
      <c r="C31" s="21" t="s">
        <v>680</v>
      </c>
      <c r="D31" s="261">
        <v>200704</v>
      </c>
      <c r="E31" s="262">
        <f>0+'táj.1.'!N30</f>
        <v>9141</v>
      </c>
      <c r="F31" s="261">
        <f>33167+'táj.1.'!D30</f>
        <v>33167</v>
      </c>
      <c r="G31" s="261">
        <f>0+'táj.1.'!E30</f>
        <v>0</v>
      </c>
      <c r="H31" s="263">
        <f>157558+'táj.1.'!F30</f>
        <v>164661</v>
      </c>
      <c r="I31" s="261">
        <f>0+'táj.1.'!G30</f>
        <v>0</v>
      </c>
      <c r="J31" s="261">
        <f>10009+'táj.1.'!H30</f>
        <v>12047</v>
      </c>
      <c r="K31" s="261">
        <f>0+'táj.1.'!I30</f>
        <v>0</v>
      </c>
      <c r="L31" s="261">
        <f>0+'táj.1.'!J30</f>
        <v>0</v>
      </c>
      <c r="M31" s="261">
        <f>0+'táj.1.'!K30</f>
        <v>0</v>
      </c>
      <c r="N31" s="261">
        <v>0</v>
      </c>
      <c r="O31" s="261">
        <f>0+'táj.1.'!M30</f>
        <v>0</v>
      </c>
      <c r="P31" s="151">
        <f t="shared" si="0"/>
        <v>209845</v>
      </c>
    </row>
    <row r="32" spans="1:16" ht="15.75" customHeight="1">
      <c r="A32" s="149"/>
      <c r="B32" s="634" t="s">
        <v>995</v>
      </c>
      <c r="C32" s="21" t="s">
        <v>681</v>
      </c>
      <c r="D32" s="261">
        <v>211469</v>
      </c>
      <c r="E32" s="262">
        <f>0+'táj.1.'!N31</f>
        <v>9750</v>
      </c>
      <c r="F32" s="261">
        <f>27864+'táj.1.'!D31</f>
        <v>27864</v>
      </c>
      <c r="G32" s="261">
        <f>0+'táj.1.'!E31</f>
        <v>0</v>
      </c>
      <c r="H32" s="263">
        <f>175004+'táj.1.'!F31</f>
        <v>181048</v>
      </c>
      <c r="I32" s="261">
        <f>0+'táj.1.'!G31</f>
        <v>0</v>
      </c>
      <c r="J32" s="261">
        <f>8566+'táj.1.'!H31</f>
        <v>12307</v>
      </c>
      <c r="K32" s="261">
        <f>0+'táj.1.'!I31</f>
        <v>0</v>
      </c>
      <c r="L32" s="261">
        <f>0+'táj.1.'!J31</f>
        <v>0</v>
      </c>
      <c r="M32" s="261">
        <f>0+'táj.1.'!K31</f>
        <v>0</v>
      </c>
      <c r="N32" s="261">
        <v>0</v>
      </c>
      <c r="O32" s="261">
        <f>35+'táj.1.'!M31</f>
        <v>0</v>
      </c>
      <c r="P32" s="151">
        <f t="shared" si="0"/>
        <v>221219</v>
      </c>
    </row>
    <row r="33" spans="1:16" ht="15.75" customHeight="1">
      <c r="A33" s="149"/>
      <c r="B33" s="634" t="s">
        <v>996</v>
      </c>
      <c r="C33" s="21" t="s">
        <v>682</v>
      </c>
      <c r="D33" s="261">
        <v>167655</v>
      </c>
      <c r="E33" s="262">
        <f>0+'táj.1.'!N32</f>
        <v>6899</v>
      </c>
      <c r="F33" s="261">
        <f>21637+'táj.1.'!D32</f>
        <v>21637</v>
      </c>
      <c r="G33" s="261">
        <f>0+'táj.1.'!E32</f>
        <v>0</v>
      </c>
      <c r="H33" s="263">
        <f>139874+'táj.1.'!F32</f>
        <v>144797</v>
      </c>
      <c r="I33" s="261">
        <f>0+'táj.1.'!G32</f>
        <v>0</v>
      </c>
      <c r="J33" s="261">
        <f>6144+'táj.1.'!H32</f>
        <v>8120</v>
      </c>
      <c r="K33" s="261">
        <f>0+'táj.1.'!I32</f>
        <v>0</v>
      </c>
      <c r="L33" s="261">
        <f>0+'táj.1.'!J32</f>
        <v>0</v>
      </c>
      <c r="M33" s="261">
        <f>0+'táj.1.'!K32</f>
        <v>0</v>
      </c>
      <c r="N33" s="261">
        <v>0</v>
      </c>
      <c r="O33" s="261">
        <f>0+'táj.1.'!M32</f>
        <v>0</v>
      </c>
      <c r="P33" s="151">
        <f t="shared" si="0"/>
        <v>174554</v>
      </c>
    </row>
    <row r="34" spans="1:16" ht="15.75" customHeight="1">
      <c r="A34" s="149"/>
      <c r="B34" s="634" t="s">
        <v>1113</v>
      </c>
      <c r="C34" s="21" t="s">
        <v>683</v>
      </c>
      <c r="D34" s="261">
        <v>204766</v>
      </c>
      <c r="E34" s="262">
        <f>0+'táj.1.'!N33</f>
        <v>9512</v>
      </c>
      <c r="F34" s="261">
        <f>23870+'táj.1.'!D33</f>
        <v>23870</v>
      </c>
      <c r="G34" s="261">
        <f>0+'táj.1.'!E33</f>
        <v>0</v>
      </c>
      <c r="H34" s="263">
        <f>169876+'táj.1.'!F33</f>
        <v>175646</v>
      </c>
      <c r="I34" s="261">
        <f>0+'táj.1.'!G33</f>
        <v>0</v>
      </c>
      <c r="J34" s="261">
        <f>11020+'táj.1.'!H33</f>
        <v>14762</v>
      </c>
      <c r="K34" s="261">
        <f>0+'táj.1.'!I33</f>
        <v>0</v>
      </c>
      <c r="L34" s="261">
        <f>0+'táj.1.'!J33</f>
        <v>0</v>
      </c>
      <c r="M34" s="261">
        <f>0+'táj.1.'!K33</f>
        <v>0</v>
      </c>
      <c r="N34" s="261">
        <v>0</v>
      </c>
      <c r="O34" s="261">
        <f>0+'táj.1.'!M33</f>
        <v>0</v>
      </c>
      <c r="P34" s="151">
        <f t="shared" si="0"/>
        <v>214278</v>
      </c>
    </row>
    <row r="35" spans="1:16" ht="15.75" customHeight="1">
      <c r="A35" s="149"/>
      <c r="B35" s="634" t="s">
        <v>1114</v>
      </c>
      <c r="C35" s="150" t="s">
        <v>676</v>
      </c>
      <c r="D35" s="261">
        <v>65440</v>
      </c>
      <c r="E35" s="262">
        <f>0+'táj.1.'!N34</f>
        <v>4157</v>
      </c>
      <c r="F35" s="261">
        <f>0+'táj.1.'!D34</f>
        <v>0</v>
      </c>
      <c r="G35" s="261">
        <f>0+'táj.1.'!E34</f>
        <v>0</v>
      </c>
      <c r="H35" s="263">
        <f>57454+'táj.1.'!F34</f>
        <v>56634</v>
      </c>
      <c r="I35" s="261">
        <f>0+'táj.1.'!G34</f>
        <v>0</v>
      </c>
      <c r="J35" s="261">
        <f>0+'táj.1.'!H34</f>
        <v>0</v>
      </c>
      <c r="K35" s="261">
        <f>0+'táj.1.'!I34</f>
        <v>0</v>
      </c>
      <c r="L35" s="261">
        <f>0+'táj.1.'!J34</f>
        <v>0</v>
      </c>
      <c r="M35" s="261">
        <f>0+'táj.1.'!K34</f>
        <v>0</v>
      </c>
      <c r="N35" s="261">
        <v>0</v>
      </c>
      <c r="O35" s="261">
        <f>7986+'táj.1.'!M34</f>
        <v>12963</v>
      </c>
      <c r="P35" s="151">
        <f t="shared" si="0"/>
        <v>69597</v>
      </c>
    </row>
    <row r="36" spans="1:16" ht="15.75" customHeight="1">
      <c r="A36" s="149">
        <v>2</v>
      </c>
      <c r="B36" s="635">
        <v>21</v>
      </c>
      <c r="C36" s="21" t="s">
        <v>113</v>
      </c>
      <c r="D36" s="261">
        <v>254211</v>
      </c>
      <c r="E36" s="262">
        <f>110+'táj.1.'!N35</f>
        <v>44231</v>
      </c>
      <c r="F36" s="261">
        <f>49212+'táj.1.'!D35</f>
        <v>49653</v>
      </c>
      <c r="G36" s="261">
        <f>0+'táj.1.'!E35</f>
        <v>0</v>
      </c>
      <c r="H36" s="263">
        <f>192017+'táj.1.'!F35</f>
        <v>197530</v>
      </c>
      <c r="I36" s="261">
        <f>0+'táj.1.'!G35</f>
        <v>0</v>
      </c>
      <c r="J36" s="261">
        <f>4647+'táj.1.'!H35</f>
        <v>31938</v>
      </c>
      <c r="K36" s="261">
        <f>0+'táj.1.'!I35</f>
        <v>3750</v>
      </c>
      <c r="L36" s="261">
        <f>0+'táj.1.'!J35</f>
        <v>0</v>
      </c>
      <c r="M36" s="261">
        <f>0+'táj.1.'!K35</f>
        <v>0</v>
      </c>
      <c r="N36" s="261">
        <v>0</v>
      </c>
      <c r="O36" s="261">
        <f>8445+'táj.1.'!M35</f>
        <v>15571</v>
      </c>
      <c r="P36" s="151">
        <f t="shared" si="0"/>
        <v>298442</v>
      </c>
    </row>
    <row r="37" spans="1:16" ht="15.75" customHeight="1">
      <c r="A37" s="149"/>
      <c r="B37" s="634" t="s">
        <v>1115</v>
      </c>
      <c r="C37" s="150" t="s">
        <v>539</v>
      </c>
      <c r="D37" s="261">
        <v>58036</v>
      </c>
      <c r="E37" s="262">
        <f>0+'táj.1.'!N36</f>
        <v>11699</v>
      </c>
      <c r="F37" s="261">
        <f>1800+'táj.1.'!D36</f>
        <v>1800</v>
      </c>
      <c r="G37" s="261">
        <f>0+'táj.1.'!E36</f>
        <v>0</v>
      </c>
      <c r="H37" s="263">
        <f>43975+'táj.1.'!F36</f>
        <v>45348</v>
      </c>
      <c r="I37" s="261">
        <f>0+'táj.1.'!G36</f>
        <v>0</v>
      </c>
      <c r="J37" s="261">
        <f>4316+'táj.1.'!H36</f>
        <v>21075</v>
      </c>
      <c r="K37" s="261">
        <f>0+'táj.1.'!I36</f>
        <v>1512</v>
      </c>
      <c r="L37" s="261">
        <f>0+'táj.1.'!J36</f>
        <v>0</v>
      </c>
      <c r="M37" s="261">
        <f>0+'táj.1.'!K36</f>
        <v>0</v>
      </c>
      <c r="N37" s="261">
        <v>0</v>
      </c>
      <c r="O37" s="261">
        <f>7945+'táj.1.'!M36</f>
        <v>0</v>
      </c>
      <c r="P37" s="151">
        <f t="shared" si="0"/>
        <v>69735</v>
      </c>
    </row>
    <row r="38" spans="1:16" ht="15.75" customHeight="1">
      <c r="A38" s="149"/>
      <c r="B38" s="634" t="s">
        <v>1116</v>
      </c>
      <c r="C38" s="150" t="s">
        <v>114</v>
      </c>
      <c r="D38" s="261">
        <v>180601</v>
      </c>
      <c r="E38" s="262">
        <f>110+'táj.1.'!N37</f>
        <v>26403</v>
      </c>
      <c r="F38" s="261">
        <f>45912+'táj.1.'!D37</f>
        <v>46353</v>
      </c>
      <c r="G38" s="261">
        <f>0+'táj.1.'!E37</f>
        <v>0</v>
      </c>
      <c r="H38" s="263">
        <f>134468+'táj.1.'!F37</f>
        <v>138225</v>
      </c>
      <c r="I38" s="261">
        <f>0+'táj.1.'!G37</f>
        <v>0</v>
      </c>
      <c r="J38" s="261">
        <f>331+'táj.1.'!H37</f>
        <v>4617</v>
      </c>
      <c r="K38" s="261">
        <f>0+'táj.1.'!I37</f>
        <v>2238</v>
      </c>
      <c r="L38" s="261">
        <f>0+'táj.1.'!J37</f>
        <v>0</v>
      </c>
      <c r="M38" s="261">
        <f>0+'táj.1.'!K37</f>
        <v>0</v>
      </c>
      <c r="N38" s="261">
        <v>0</v>
      </c>
      <c r="O38" s="261">
        <f>0+'táj.1.'!M37</f>
        <v>15571</v>
      </c>
      <c r="P38" s="151">
        <f t="shared" si="0"/>
        <v>207004</v>
      </c>
    </row>
    <row r="39" spans="1:16" ht="15.75" customHeight="1">
      <c r="A39" s="149"/>
      <c r="B39" s="634" t="s">
        <v>1117</v>
      </c>
      <c r="C39" s="150" t="s">
        <v>103</v>
      </c>
      <c r="D39" s="261">
        <v>15574</v>
      </c>
      <c r="E39" s="262">
        <f>0+'táj.1.'!N38</f>
        <v>6129</v>
      </c>
      <c r="F39" s="261">
        <f>1500+'táj.1.'!D38</f>
        <v>1500</v>
      </c>
      <c r="G39" s="261">
        <f>0+'táj.1.'!E38</f>
        <v>0</v>
      </c>
      <c r="H39" s="263">
        <f>13574+'táj.1.'!F38</f>
        <v>13957</v>
      </c>
      <c r="I39" s="261">
        <f>0+'táj.1.'!G38</f>
        <v>0</v>
      </c>
      <c r="J39" s="261">
        <f>0+'táj.1.'!H38</f>
        <v>6246</v>
      </c>
      <c r="K39" s="261">
        <f>0+'táj.1.'!I38</f>
        <v>0</v>
      </c>
      <c r="L39" s="261">
        <f>0+'táj.1.'!J38</f>
        <v>0</v>
      </c>
      <c r="M39" s="261">
        <f>0+'táj.1.'!K38</f>
        <v>0</v>
      </c>
      <c r="N39" s="261">
        <v>0</v>
      </c>
      <c r="O39" s="261">
        <f>500+'táj.1.'!M38</f>
        <v>0</v>
      </c>
      <c r="P39" s="151">
        <f t="shared" si="0"/>
        <v>21703</v>
      </c>
    </row>
    <row r="40" spans="1:16" ht="15.75" customHeight="1">
      <c r="A40" s="149">
        <v>2</v>
      </c>
      <c r="B40" s="635">
        <v>22</v>
      </c>
      <c r="C40" s="150" t="s">
        <v>540</v>
      </c>
      <c r="D40" s="261">
        <v>25400</v>
      </c>
      <c r="E40" s="262">
        <f>0+'táj.1.'!N39</f>
        <v>1380</v>
      </c>
      <c r="F40" s="261">
        <f>11353+'táj.1.'!D39</f>
        <v>11353</v>
      </c>
      <c r="G40" s="261">
        <f>0+'táj.1.'!E39</f>
        <v>0</v>
      </c>
      <c r="H40" s="263">
        <f>14047+'táj.1.'!F39</f>
        <v>14412</v>
      </c>
      <c r="I40" s="261">
        <f>0+'táj.1.'!G39</f>
        <v>0</v>
      </c>
      <c r="J40" s="261">
        <f>0+'táj.1.'!H39</f>
        <v>110</v>
      </c>
      <c r="K40" s="261">
        <f>0+'táj.1.'!I39</f>
        <v>0</v>
      </c>
      <c r="L40" s="261">
        <f>0+'táj.1.'!J39</f>
        <v>0</v>
      </c>
      <c r="M40" s="261">
        <f>0+'táj.1.'!K39</f>
        <v>0</v>
      </c>
      <c r="N40" s="261">
        <v>0</v>
      </c>
      <c r="O40" s="261">
        <f>0+'táj.1.'!M39</f>
        <v>905</v>
      </c>
      <c r="P40" s="151">
        <f t="shared" si="0"/>
        <v>26780</v>
      </c>
    </row>
    <row r="41" spans="1:16" ht="15.75" customHeight="1">
      <c r="A41" s="149">
        <v>2</v>
      </c>
      <c r="B41" s="635">
        <v>23</v>
      </c>
      <c r="C41" s="150" t="s">
        <v>690</v>
      </c>
      <c r="D41" s="261">
        <v>96194</v>
      </c>
      <c r="E41" s="262">
        <f>8440+'táj.1.'!N40</f>
        <v>9990</v>
      </c>
      <c r="F41" s="261">
        <f>20157+'táj.1.'!D40</f>
        <v>20157</v>
      </c>
      <c r="G41" s="261">
        <f>0+'táj.1.'!E40</f>
        <v>0</v>
      </c>
      <c r="H41" s="263">
        <f>75560+'táj.1.'!F40</f>
        <v>76862</v>
      </c>
      <c r="I41" s="261">
        <f>0+'táj.1.'!G40</f>
        <v>0</v>
      </c>
      <c r="J41" s="261">
        <f>3259+'táj.1.'!H40</f>
        <v>3259</v>
      </c>
      <c r="K41" s="261">
        <f>0+'táj.1.'!I40</f>
        <v>0</v>
      </c>
      <c r="L41" s="261">
        <f>0+'táj.1.'!J40</f>
        <v>0</v>
      </c>
      <c r="M41" s="261">
        <f>0+'táj.1.'!K40</f>
        <v>0</v>
      </c>
      <c r="N41" s="261">
        <v>0</v>
      </c>
      <c r="O41" s="261">
        <f>5658+'táj.1.'!M40</f>
        <v>5906</v>
      </c>
      <c r="P41" s="151">
        <f t="shared" si="0"/>
        <v>106184</v>
      </c>
    </row>
    <row r="42" spans="1:16" ht="15.75" customHeight="1">
      <c r="A42" s="149">
        <v>2</v>
      </c>
      <c r="B42" s="635">
        <v>24</v>
      </c>
      <c r="C42" s="150" t="s">
        <v>542</v>
      </c>
      <c r="D42" s="261">
        <v>90000</v>
      </c>
      <c r="E42" s="262">
        <f>0+'táj.1.'!N41</f>
        <v>5239</v>
      </c>
      <c r="F42" s="261">
        <f>90000+'táj.1.'!D41</f>
        <v>90000</v>
      </c>
      <c r="G42" s="261">
        <f>0+'táj.1.'!E41</f>
        <v>0</v>
      </c>
      <c r="H42" s="263">
        <f>0+'táj.1.'!F41</f>
        <v>371</v>
      </c>
      <c r="I42" s="261">
        <f>0+'táj.1.'!G41</f>
        <v>0</v>
      </c>
      <c r="J42" s="261">
        <f>0+'táj.1.'!H41</f>
        <v>0</v>
      </c>
      <c r="K42" s="261">
        <f>0+'táj.1.'!I41</f>
        <v>0</v>
      </c>
      <c r="L42" s="261">
        <f>0+'táj.1.'!J41</f>
        <v>0</v>
      </c>
      <c r="M42" s="261">
        <f>0+'táj.1.'!K41</f>
        <v>0</v>
      </c>
      <c r="N42" s="261">
        <v>0</v>
      </c>
      <c r="O42" s="261">
        <f>0+'táj.1.'!M41</f>
        <v>4868</v>
      </c>
      <c r="P42" s="151">
        <f t="shared" si="0"/>
        <v>95239</v>
      </c>
    </row>
    <row r="43" spans="1:16" ht="15.75" customHeight="1">
      <c r="A43" s="149">
        <v>2</v>
      </c>
      <c r="B43" s="635">
        <v>25</v>
      </c>
      <c r="C43" s="150" t="s">
        <v>946</v>
      </c>
      <c r="D43" s="261">
        <v>700851</v>
      </c>
      <c r="E43" s="262">
        <f>1652+'táj.1.'!N42</f>
        <v>20169</v>
      </c>
      <c r="F43" s="261">
        <f>196631+'táj.1.'!D42</f>
        <v>196631</v>
      </c>
      <c r="G43" s="261">
        <f>61000+'táj.1.'!E42</f>
        <v>61000</v>
      </c>
      <c r="H43" s="263">
        <f>410666+'táj.1.'!F42</f>
        <v>416384</v>
      </c>
      <c r="I43" s="261">
        <f>0+'táj.1.'!G42</f>
        <v>0</v>
      </c>
      <c r="J43" s="261">
        <f>2000+'táj.1.'!H42</f>
        <v>8499</v>
      </c>
      <c r="K43" s="261">
        <f>0+'táj.1.'!I42</f>
        <v>0</v>
      </c>
      <c r="L43" s="261">
        <f>0+'táj.1.'!J42</f>
        <v>0</v>
      </c>
      <c r="M43" s="261">
        <f>0+'táj.1.'!K42</f>
        <v>0</v>
      </c>
      <c r="N43" s="261">
        <v>0</v>
      </c>
      <c r="O43" s="261">
        <f>32206+'táj.1.'!M42</f>
        <v>38506</v>
      </c>
      <c r="P43" s="151">
        <f t="shared" si="0"/>
        <v>721020</v>
      </c>
    </row>
    <row r="44" spans="1:16" ht="15.75" customHeight="1">
      <c r="A44" s="149"/>
      <c r="B44" s="634" t="s">
        <v>997</v>
      </c>
      <c r="C44" s="150" t="s">
        <v>116</v>
      </c>
      <c r="D44" s="261">
        <v>598030</v>
      </c>
      <c r="E44" s="262">
        <f>1652+'táj.1.'!N43</f>
        <v>17742</v>
      </c>
      <c r="F44" s="261">
        <f>178931+'táj.1.'!D43</f>
        <v>178931</v>
      </c>
      <c r="G44" s="261">
        <f>55000+'táj.1.'!E43</f>
        <v>55000</v>
      </c>
      <c r="H44" s="263">
        <f>336558+'táj.1.'!F43</f>
        <v>341335</v>
      </c>
      <c r="I44" s="261">
        <f>0+'táj.1.'!G43</f>
        <v>0</v>
      </c>
      <c r="J44" s="261">
        <f>2000+'táj.1.'!H43</f>
        <v>2000</v>
      </c>
      <c r="K44" s="261">
        <f>0+'táj.1.'!I43</f>
        <v>0</v>
      </c>
      <c r="L44" s="261">
        <f>0+'táj.1.'!J43</f>
        <v>0</v>
      </c>
      <c r="M44" s="261">
        <f>0+'táj.1.'!K43</f>
        <v>0</v>
      </c>
      <c r="N44" s="261"/>
      <c r="O44" s="261">
        <f>27193+'táj.1.'!M43</f>
        <v>38506</v>
      </c>
      <c r="P44" s="151">
        <f t="shared" si="0"/>
        <v>615772</v>
      </c>
    </row>
    <row r="45" spans="1:16" ht="15.75" customHeight="1">
      <c r="A45" s="149"/>
      <c r="B45" s="634" t="s">
        <v>998</v>
      </c>
      <c r="C45" s="150" t="s">
        <v>115</v>
      </c>
      <c r="D45" s="261">
        <v>102821</v>
      </c>
      <c r="E45" s="262">
        <f>0+'táj.1.'!N44</f>
        <v>2427</v>
      </c>
      <c r="F45" s="261">
        <f>17700+'táj.1.'!D44</f>
        <v>17700</v>
      </c>
      <c r="G45" s="261">
        <f>6000+'táj.1.'!E44</f>
        <v>6000</v>
      </c>
      <c r="H45" s="263">
        <f>74108+'táj.1.'!F44</f>
        <v>75049</v>
      </c>
      <c r="I45" s="261">
        <f>0+'táj.1.'!G44</f>
        <v>0</v>
      </c>
      <c r="J45" s="261">
        <f>0+'táj.1.'!H44</f>
        <v>6499</v>
      </c>
      <c r="K45" s="261">
        <f>0+'táj.1.'!I44</f>
        <v>0</v>
      </c>
      <c r="L45" s="261">
        <f>0+'táj.1.'!J44</f>
        <v>0</v>
      </c>
      <c r="M45" s="261">
        <f>0+'táj.1.'!K44</f>
        <v>0</v>
      </c>
      <c r="N45" s="261"/>
      <c r="O45" s="261">
        <f>5013+'táj.1.'!M44</f>
        <v>0</v>
      </c>
      <c r="P45" s="151">
        <f t="shared" si="0"/>
        <v>105248</v>
      </c>
    </row>
    <row r="46" spans="1:16" ht="20.25" customHeight="1" thickBot="1">
      <c r="A46" s="158"/>
      <c r="B46" s="158"/>
      <c r="C46" s="155" t="s">
        <v>613</v>
      </c>
      <c r="D46" s="156">
        <f>SUM(D24+D29+D30+D36+D40+D41+D42+D43)</f>
        <v>3240845</v>
      </c>
      <c r="E46" s="156">
        <f>SUM(E24+E29+E30+E36+E40+E41+E42+E43)</f>
        <v>380993</v>
      </c>
      <c r="F46" s="318">
        <f>785696+'táj.1.'!D45</f>
        <v>848297</v>
      </c>
      <c r="G46" s="318">
        <f>61000+'táj.1.'!E45</f>
        <v>61000</v>
      </c>
      <c r="H46" s="318">
        <f>2016123+'táj.1.'!F45</f>
        <v>2113985</v>
      </c>
      <c r="I46" s="394">
        <f>217882+'táj.1.'!G45</f>
        <v>217882</v>
      </c>
      <c r="J46" s="318">
        <f>84684+'táj.1.'!H45</f>
        <v>190437</v>
      </c>
      <c r="K46" s="318">
        <f>0+'táj.1.'!I45</f>
        <v>4340</v>
      </c>
      <c r="L46" s="318">
        <f>0+'táj.1.'!J45</f>
        <v>0</v>
      </c>
      <c r="M46" s="318">
        <f>0+'táj.1.'!K45</f>
        <v>0</v>
      </c>
      <c r="N46" s="318">
        <f>0+'táj.1.'!L45</f>
        <v>0</v>
      </c>
      <c r="O46" s="318">
        <f>86073+'táj.1.'!M45</f>
        <v>185897</v>
      </c>
      <c r="P46" s="156">
        <f t="shared" si="0"/>
        <v>3621838</v>
      </c>
    </row>
    <row r="47" spans="1:16" ht="20.25" customHeight="1" thickBot="1">
      <c r="A47" s="160"/>
      <c r="B47" s="161"/>
      <c r="C47" s="162" t="s">
        <v>614</v>
      </c>
      <c r="D47" s="163">
        <f aca="true" t="shared" si="4" ref="D47:P47">SUM(D4+D23+D46)</f>
        <v>9744028</v>
      </c>
      <c r="E47" s="163">
        <f t="shared" si="4"/>
        <v>680441</v>
      </c>
      <c r="F47" s="163">
        <f t="shared" si="4"/>
        <v>1550984</v>
      </c>
      <c r="G47" s="163">
        <f t="shared" si="4"/>
        <v>72563</v>
      </c>
      <c r="H47" s="163">
        <f t="shared" si="4"/>
        <v>7691581</v>
      </c>
      <c r="I47" s="163">
        <f t="shared" si="4"/>
        <v>217882</v>
      </c>
      <c r="J47" s="163">
        <f t="shared" si="4"/>
        <v>409017</v>
      </c>
      <c r="K47" s="163">
        <f t="shared" si="4"/>
        <v>13893</v>
      </c>
      <c r="L47" s="163">
        <f t="shared" si="4"/>
        <v>8328</v>
      </c>
      <c r="M47" s="163">
        <f t="shared" si="4"/>
        <v>61479</v>
      </c>
      <c r="N47" s="163">
        <f t="shared" si="4"/>
        <v>0</v>
      </c>
      <c r="O47" s="163">
        <f t="shared" si="4"/>
        <v>398742</v>
      </c>
      <c r="P47" s="163">
        <f t="shared" si="4"/>
        <v>10424469</v>
      </c>
    </row>
    <row r="48" spans="3:16" ht="12.75">
      <c r="C48" s="100"/>
      <c r="E48" s="100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3:16" ht="12.75">
      <c r="C49" s="100"/>
      <c r="D49" s="100"/>
      <c r="E49" s="100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</row>
    <row r="50" spans="3:16" ht="12.75">
      <c r="C50" s="100"/>
      <c r="D50" s="100"/>
      <c r="E50" s="100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</row>
    <row r="51" spans="3:16" ht="12.75">
      <c r="C51" s="266"/>
      <c r="D51" s="100"/>
      <c r="E51" s="100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</row>
    <row r="52" spans="3:5" ht="12.75">
      <c r="C52" s="100"/>
      <c r="D52" s="100"/>
      <c r="E52" s="100"/>
    </row>
    <row r="53" spans="3:5" ht="12.75">
      <c r="C53" s="100"/>
      <c r="D53" s="100"/>
      <c r="E53" s="100"/>
    </row>
    <row r="54" spans="3:5" ht="12.75">
      <c r="C54" s="100"/>
      <c r="D54" s="100"/>
      <c r="E54" s="100"/>
    </row>
    <row r="55" spans="3:5" ht="12.75">
      <c r="C55" s="100"/>
      <c r="D55" s="100"/>
      <c r="E55" s="100"/>
    </row>
    <row r="56" spans="3:5" ht="12.75">
      <c r="C56" s="100"/>
      <c r="D56" s="100"/>
      <c r="E56" s="100"/>
    </row>
  </sheetData>
  <mergeCells count="7">
    <mergeCell ref="A1:A3"/>
    <mergeCell ref="F1:O1"/>
    <mergeCell ref="L2:M2"/>
    <mergeCell ref="F2:G2"/>
    <mergeCell ref="B1:B3"/>
    <mergeCell ref="N2:N3"/>
    <mergeCell ref="J2:K2"/>
  </mergeCells>
  <printOptions gridLines="1" horizontalCentered="1" verticalCentered="1"/>
  <pageMargins left="0.2362204724409449" right="0.31496062992125984" top="1.4566929133858268" bottom="0.3937007874015748" header="0.4330708661417323" footer="0.31496062992125984"/>
  <pageSetup horizontalDpi="300" verticalDpi="300" orientation="landscape" paperSize="9" scale="90" r:id="rId1"/>
  <headerFooter alignWithMargins="0">
    <oddHeader>&amp;C&amp;"Times New Roman,Normál"ZALAEGERSZEG MJV ÖNKORMÁNYZATA ÁLTAL  IRÁNYÍTOTT KÖLTSÉGVETÉSI SZERVEK
 2012. ÉVI MÓDOSÍTOTT BEVÉTELI ELŐIRÁNYZATAI AZ  II. NEGYEDÉVI  ELŐIRÁNYZAT-MÓDOSÍTÁS UTÁN&amp;R&amp;"Times New Roman,Normál"8. számú melléklet
Adatok: eFt-ban</oddHeader>
    <oddFooter>&amp;C 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135"/>
  <sheetViews>
    <sheetView workbookViewId="0" topLeftCell="C1">
      <pane ySplit="3" topLeftCell="BM34" activePane="bottomLeft" state="frozen"/>
      <selection pane="topLeft" activeCell="B1" sqref="B1"/>
      <selection pane="bottomLeft" activeCell="D4" sqref="D4"/>
    </sheetView>
  </sheetViews>
  <sheetFormatPr defaultColWidth="9.00390625" defaultRowHeight="12.75"/>
  <cols>
    <col min="1" max="1" width="6.50390625" style="103" customWidth="1"/>
    <col min="2" max="2" width="6.875" style="103" customWidth="1"/>
    <col min="3" max="3" width="39.625" style="95" customWidth="1"/>
    <col min="4" max="4" width="12.00390625" style="95" customWidth="1"/>
    <col min="5" max="6" width="11.00390625" style="95" customWidth="1"/>
    <col min="7" max="7" width="12.125" style="95" customWidth="1"/>
    <col min="8" max="8" width="10.625" style="95" customWidth="1"/>
    <col min="9" max="10" width="9.375" style="95" customWidth="1"/>
    <col min="11" max="11" width="10.375" style="95" customWidth="1"/>
    <col min="12" max="12" width="9.50390625" style="95" customWidth="1"/>
    <col min="13" max="13" width="10.50390625" style="95" customWidth="1"/>
    <col min="14" max="14" width="12.875" style="95" customWidth="1"/>
    <col min="15" max="16384" width="9.375" style="95" customWidth="1"/>
  </cols>
  <sheetData>
    <row r="1" spans="1:14" ht="13.5" thickBot="1">
      <c r="A1" s="172"/>
      <c r="B1" s="172"/>
      <c r="C1" s="173"/>
      <c r="D1" s="173"/>
      <c r="E1" s="173"/>
      <c r="F1" s="852" t="s">
        <v>691</v>
      </c>
      <c r="G1" s="853"/>
      <c r="H1" s="853"/>
      <c r="I1" s="853"/>
      <c r="J1" s="853"/>
      <c r="K1" s="853"/>
      <c r="L1" s="853"/>
      <c r="M1" s="854"/>
      <c r="N1" s="173"/>
    </row>
    <row r="2" spans="1:14" ht="13.5" thickBot="1">
      <c r="A2" s="174"/>
      <c r="B2" s="174"/>
      <c r="C2" s="175"/>
      <c r="D2" s="175"/>
      <c r="E2" s="175"/>
      <c r="F2" s="176"/>
      <c r="G2" s="176"/>
      <c r="H2" s="176"/>
      <c r="I2" s="852" t="s">
        <v>692</v>
      </c>
      <c r="J2" s="854"/>
      <c r="K2" s="176"/>
      <c r="L2" s="176"/>
      <c r="M2" s="176"/>
      <c r="N2" s="175"/>
    </row>
    <row r="3" spans="1:14" ht="36.75" thickBot="1">
      <c r="A3" s="177" t="s">
        <v>517</v>
      </c>
      <c r="B3" s="177" t="s">
        <v>518</v>
      </c>
      <c r="C3" s="546" t="s">
        <v>612</v>
      </c>
      <c r="D3" s="177" t="s">
        <v>424</v>
      </c>
      <c r="E3" s="636" t="s">
        <v>693</v>
      </c>
      <c r="F3" s="636" t="s">
        <v>205</v>
      </c>
      <c r="G3" s="636" t="s">
        <v>519</v>
      </c>
      <c r="H3" s="636" t="s">
        <v>520</v>
      </c>
      <c r="I3" s="637" t="s">
        <v>697</v>
      </c>
      <c r="J3" s="638" t="s">
        <v>698</v>
      </c>
      <c r="K3" s="636" t="s">
        <v>521</v>
      </c>
      <c r="L3" s="636" t="s">
        <v>448</v>
      </c>
      <c r="M3" s="636" t="s">
        <v>522</v>
      </c>
      <c r="N3" s="636" t="s">
        <v>523</v>
      </c>
    </row>
    <row r="4" spans="1:14" ht="12.75">
      <c r="A4" s="569">
        <v>2</v>
      </c>
      <c r="B4" s="570">
        <v>1</v>
      </c>
      <c r="C4" s="572" t="s">
        <v>194</v>
      </c>
      <c r="D4" s="685">
        <v>1468888</v>
      </c>
      <c r="E4" s="262">
        <f>-32070+'táj.2.'!L2</f>
        <v>-109884</v>
      </c>
      <c r="F4" s="261">
        <f>911434+'táj.2.'!D2</f>
        <v>866210</v>
      </c>
      <c r="G4" s="261">
        <f>235358+'táj.2.'!E2</f>
        <v>225930</v>
      </c>
      <c r="H4" s="261">
        <f>189838+'táj.2.'!F2</f>
        <v>198139</v>
      </c>
      <c r="I4" s="261">
        <f>1000+'táj.2.'!G2</f>
        <v>1000</v>
      </c>
      <c r="J4" s="261">
        <f>0+'táj.2.'!H2</f>
        <v>0</v>
      </c>
      <c r="K4" s="261">
        <f>0+'táj.2.'!I2</f>
        <v>0</v>
      </c>
      <c r="L4" s="261">
        <f>9189+'táj.2.'!J2</f>
        <v>9189</v>
      </c>
      <c r="M4" s="261">
        <f>89999+'táj.2.'!K2</f>
        <v>58536</v>
      </c>
      <c r="N4" s="152">
        <f>SUM(D4+E4)</f>
        <v>1359004</v>
      </c>
    </row>
    <row r="5" spans="1:14" s="96" customFormat="1" ht="24" customHeight="1">
      <c r="A5" s="149">
        <v>2</v>
      </c>
      <c r="B5" s="149">
        <v>2</v>
      </c>
      <c r="C5" s="471" t="s">
        <v>669</v>
      </c>
      <c r="D5" s="567">
        <v>385335</v>
      </c>
      <c r="E5" s="262">
        <f>0+'táj.2.'!L3</f>
        <v>28356</v>
      </c>
      <c r="F5" s="261">
        <f>205847+'táj.2.'!D3</f>
        <v>224274</v>
      </c>
      <c r="G5" s="261">
        <f>55187+'táj.2.'!E3</f>
        <v>57703</v>
      </c>
      <c r="H5" s="261">
        <f>123801+'táj.2.'!F3</f>
        <v>127794</v>
      </c>
      <c r="I5" s="261">
        <f>0+'táj.2.'!G3</f>
        <v>383</v>
      </c>
      <c r="J5" s="261">
        <f>0+'táj.2.'!H3</f>
        <v>0</v>
      </c>
      <c r="K5" s="261">
        <f>0+'táj.2.'!I3</f>
        <v>642</v>
      </c>
      <c r="L5" s="261">
        <f>0+'táj.2.'!J3</f>
        <v>800</v>
      </c>
      <c r="M5" s="261">
        <f>500+'táj.2.'!K3</f>
        <v>2095</v>
      </c>
      <c r="N5" s="152">
        <f>SUM(D5+E5)</f>
        <v>413691</v>
      </c>
    </row>
    <row r="6" spans="1:14" s="96" customFormat="1" ht="15.75" customHeight="1">
      <c r="A6" s="149">
        <v>2</v>
      </c>
      <c r="B6" s="149">
        <v>3</v>
      </c>
      <c r="C6" s="150" t="s">
        <v>524</v>
      </c>
      <c r="D6" s="261">
        <v>185792</v>
      </c>
      <c r="E6" s="262">
        <f>0+'táj.2.'!L4</f>
        <v>17808</v>
      </c>
      <c r="F6" s="261">
        <f>123230+'táj.2.'!D4</f>
        <v>131338</v>
      </c>
      <c r="G6" s="261">
        <f>33169+'táj.2.'!E4</f>
        <v>35279</v>
      </c>
      <c r="H6" s="261">
        <f>29393+'táj.2.'!F4</f>
        <v>33760</v>
      </c>
      <c r="I6" s="261">
        <f>0+'táj.2.'!G4</f>
        <v>318</v>
      </c>
      <c r="J6" s="261">
        <f>0+'táj.2.'!H4</f>
        <v>0</v>
      </c>
      <c r="K6" s="261">
        <f>0+'táj.2.'!I4</f>
        <v>2677</v>
      </c>
      <c r="L6" s="261">
        <f>0+'táj.2.'!J4</f>
        <v>0</v>
      </c>
      <c r="M6" s="261">
        <f>0+'táj.2.'!K4</f>
        <v>228</v>
      </c>
      <c r="N6" s="152">
        <f aca="true" t="shared" si="0" ref="N6:N47">SUM(D6+E6)</f>
        <v>203600</v>
      </c>
    </row>
    <row r="7" spans="1:15" s="96" customFormat="1" ht="24.75" customHeight="1">
      <c r="A7" s="149">
        <v>2</v>
      </c>
      <c r="B7" s="149">
        <v>4</v>
      </c>
      <c r="C7" s="157" t="s">
        <v>948</v>
      </c>
      <c r="D7" s="261">
        <v>449269</v>
      </c>
      <c r="E7" s="262">
        <f>7670+'táj.2.'!L5</f>
        <v>50227</v>
      </c>
      <c r="F7" s="261">
        <f>252652+'táj.2.'!D5</f>
        <v>268772</v>
      </c>
      <c r="G7" s="261">
        <f>68508+'táj.2.'!E5</f>
        <v>71876</v>
      </c>
      <c r="H7" s="261">
        <f>129511+'táj.2.'!F5</f>
        <v>134709</v>
      </c>
      <c r="I7" s="261">
        <f>1072+'táj.2.'!G5</f>
        <v>2236</v>
      </c>
      <c r="J7" s="261">
        <f>0+'táj.2.'!H5</f>
        <v>0</v>
      </c>
      <c r="K7" s="261">
        <f>0+'táj.2.'!I5</f>
        <v>2829</v>
      </c>
      <c r="L7" s="261">
        <f>3010+'táj.2.'!J5</f>
        <v>18275</v>
      </c>
      <c r="M7" s="261">
        <f>2186+'táj.2.'!K5</f>
        <v>799</v>
      </c>
      <c r="N7" s="152">
        <f t="shared" si="0"/>
        <v>499496</v>
      </c>
      <c r="O7" s="97"/>
    </row>
    <row r="8" spans="1:14" s="96" customFormat="1" ht="15.75" customHeight="1">
      <c r="A8" s="149">
        <v>2</v>
      </c>
      <c r="B8" s="149">
        <v>5</v>
      </c>
      <c r="C8" s="150" t="s">
        <v>527</v>
      </c>
      <c r="D8" s="261">
        <v>168264</v>
      </c>
      <c r="E8" s="262">
        <f>0+'táj.2.'!L6</f>
        <v>6337</v>
      </c>
      <c r="F8" s="261">
        <f>86123+'táj.2.'!D6</f>
        <v>89559</v>
      </c>
      <c r="G8" s="261">
        <f>23425+'táj.2.'!E6</f>
        <v>24317</v>
      </c>
      <c r="H8" s="261">
        <f>58016+'táj.2.'!F6</f>
        <v>59756</v>
      </c>
      <c r="I8" s="261">
        <f>0+'táj.2.'!G6</f>
        <v>90</v>
      </c>
      <c r="J8" s="261">
        <f>0+'táj.2.'!H6</f>
        <v>0</v>
      </c>
      <c r="K8" s="261">
        <f>0+'táj.2.'!I6</f>
        <v>179</v>
      </c>
      <c r="L8" s="261">
        <f>0+'táj.2.'!J6</f>
        <v>0</v>
      </c>
      <c r="M8" s="261">
        <f>700+'táj.2.'!K6</f>
        <v>700</v>
      </c>
      <c r="N8" s="152">
        <f t="shared" si="0"/>
        <v>174601</v>
      </c>
    </row>
    <row r="9" spans="1:14" s="96" customFormat="1" ht="15.75" customHeight="1">
      <c r="A9" s="149">
        <v>2</v>
      </c>
      <c r="B9" s="149">
        <v>6</v>
      </c>
      <c r="C9" s="150" t="s">
        <v>180</v>
      </c>
      <c r="D9" s="261">
        <v>438900</v>
      </c>
      <c r="E9" s="262">
        <f>4070+'táj.2.'!L7</f>
        <v>7008</v>
      </c>
      <c r="F9" s="261">
        <f>237873+'táj.2.'!D7</f>
        <v>238152</v>
      </c>
      <c r="G9" s="261">
        <f>64161+'táj.2.'!E7</f>
        <v>64127</v>
      </c>
      <c r="H9" s="261">
        <f>138913+'táj.2.'!F7</f>
        <v>141162</v>
      </c>
      <c r="I9" s="261">
        <f>2023+'táj.2.'!G7</f>
        <v>2415</v>
      </c>
      <c r="J9" s="261">
        <f>0+'táj.2.'!H7</f>
        <v>0</v>
      </c>
      <c r="K9" s="261">
        <f>0+'táj.2.'!I7</f>
        <v>52</v>
      </c>
      <c r="L9" s="261">
        <f>0+'táj.2.'!J7</f>
        <v>0</v>
      </c>
      <c r="M9" s="261">
        <f>0+'táj.2.'!K7</f>
        <v>0</v>
      </c>
      <c r="N9" s="152">
        <f t="shared" si="0"/>
        <v>445908</v>
      </c>
    </row>
    <row r="10" spans="1:14" s="96" customFormat="1" ht="15.75" customHeight="1">
      <c r="A10" s="149">
        <v>2</v>
      </c>
      <c r="B10" s="149">
        <v>7</v>
      </c>
      <c r="C10" s="470" t="s">
        <v>630</v>
      </c>
      <c r="D10" s="262">
        <v>372203</v>
      </c>
      <c r="E10" s="262">
        <f>6364+'táj.2.'!L8</f>
        <v>16614</v>
      </c>
      <c r="F10" s="261">
        <f>203309+'táj.2.'!D8</f>
        <v>207472</v>
      </c>
      <c r="G10" s="261">
        <f>54702+'táj.2.'!E8</f>
        <v>55689</v>
      </c>
      <c r="H10" s="261">
        <f>115986+'táj.2.'!F8</f>
        <v>118850</v>
      </c>
      <c r="I10" s="261">
        <f>3870+'táj.2.'!G8</f>
        <v>4086</v>
      </c>
      <c r="J10" s="261">
        <f>0+'táj.2.'!H8</f>
        <v>0</v>
      </c>
      <c r="K10" s="261">
        <f>0+'táj.2.'!I8</f>
        <v>1100</v>
      </c>
      <c r="L10" s="261">
        <f>0+'táj.2.'!J8</f>
        <v>0</v>
      </c>
      <c r="M10" s="261">
        <f>700+'táj.2.'!K8</f>
        <v>1620</v>
      </c>
      <c r="N10" s="152">
        <f t="shared" si="0"/>
        <v>388817</v>
      </c>
    </row>
    <row r="11" spans="1:14" s="96" customFormat="1" ht="15.75" customHeight="1">
      <c r="A11" s="149">
        <v>2</v>
      </c>
      <c r="B11" s="149">
        <v>8</v>
      </c>
      <c r="C11" s="150" t="s">
        <v>528</v>
      </c>
      <c r="D11" s="262">
        <v>210653</v>
      </c>
      <c r="E11" s="262">
        <f>0+'táj.2.'!L9</f>
        <v>9983</v>
      </c>
      <c r="F11" s="261">
        <f>121462+'táj.2.'!D9</f>
        <v>127190</v>
      </c>
      <c r="G11" s="261">
        <f>32566+'táj.2.'!E9</f>
        <v>34042</v>
      </c>
      <c r="H11" s="261">
        <f>56625+'táj.2.'!F9</f>
        <v>58719</v>
      </c>
      <c r="I11" s="261">
        <f>0+'táj.2.'!G9</f>
        <v>73</v>
      </c>
      <c r="J11" s="261">
        <f>0+'táj.2.'!H9</f>
        <v>0</v>
      </c>
      <c r="K11" s="261">
        <f>0+'táj.2.'!I9</f>
        <v>612</v>
      </c>
      <c r="L11" s="261">
        <f>0+'táj.2.'!J9</f>
        <v>0</v>
      </c>
      <c r="M11" s="261">
        <f>0+'táj.2.'!K9</f>
        <v>0</v>
      </c>
      <c r="N11" s="152">
        <f t="shared" si="0"/>
        <v>220636</v>
      </c>
    </row>
    <row r="12" spans="1:14" s="96" customFormat="1" ht="15.75" customHeight="1">
      <c r="A12" s="149">
        <v>2</v>
      </c>
      <c r="B12" s="149">
        <v>9</v>
      </c>
      <c r="C12" s="150" t="s">
        <v>525</v>
      </c>
      <c r="D12" s="261">
        <v>96143</v>
      </c>
      <c r="E12" s="262">
        <f>0+'táj.2.'!L10</f>
        <v>8640</v>
      </c>
      <c r="F12" s="261">
        <f>69583+'táj.2.'!D10</f>
        <v>74087</v>
      </c>
      <c r="G12" s="261">
        <f>18066+'táj.2.'!E10</f>
        <v>19214</v>
      </c>
      <c r="H12" s="261">
        <f>7414+'táj.2.'!F10</f>
        <v>8796</v>
      </c>
      <c r="I12" s="261">
        <f>1080+'táj.2.'!G10</f>
        <v>1691</v>
      </c>
      <c r="J12" s="261">
        <f>0+'táj.2.'!H10</f>
        <v>0</v>
      </c>
      <c r="K12" s="261">
        <f>0+'táj.2.'!I10</f>
        <v>0</v>
      </c>
      <c r="L12" s="261">
        <f>0+'táj.2.'!J10</f>
        <v>577</v>
      </c>
      <c r="M12" s="261">
        <f>0+'táj.2.'!K10</f>
        <v>418</v>
      </c>
      <c r="N12" s="152">
        <f t="shared" si="0"/>
        <v>104783</v>
      </c>
    </row>
    <row r="13" spans="1:14" s="96" customFormat="1" ht="15.75" customHeight="1">
      <c r="A13" s="154"/>
      <c r="B13" s="154"/>
      <c r="C13" s="155" t="s">
        <v>529</v>
      </c>
      <c r="D13" s="156">
        <f>SUM(D5:D12)</f>
        <v>2306559</v>
      </c>
      <c r="E13" s="156">
        <f aca="true" t="shared" si="1" ref="E13:M13">SUM(E5:E12)</f>
        <v>144973</v>
      </c>
      <c r="F13" s="317">
        <f t="shared" si="1"/>
        <v>1360844</v>
      </c>
      <c r="G13" s="317">
        <f t="shared" si="1"/>
        <v>362247</v>
      </c>
      <c r="H13" s="317">
        <f t="shared" si="1"/>
        <v>683546</v>
      </c>
      <c r="I13" s="317">
        <f t="shared" si="1"/>
        <v>11292</v>
      </c>
      <c r="J13" s="317">
        <f t="shared" si="1"/>
        <v>0</v>
      </c>
      <c r="K13" s="317">
        <f t="shared" si="1"/>
        <v>8091</v>
      </c>
      <c r="L13" s="317">
        <f t="shared" si="1"/>
        <v>19652</v>
      </c>
      <c r="M13" s="317">
        <f t="shared" si="1"/>
        <v>5860</v>
      </c>
      <c r="N13" s="319">
        <f t="shared" si="0"/>
        <v>2451532</v>
      </c>
    </row>
    <row r="14" spans="1:14" s="96" customFormat="1" ht="15.75" customHeight="1">
      <c r="A14" s="149">
        <v>2</v>
      </c>
      <c r="B14" s="149">
        <v>10</v>
      </c>
      <c r="C14" s="150" t="s">
        <v>530</v>
      </c>
      <c r="D14" s="261">
        <v>287845</v>
      </c>
      <c r="E14" s="262">
        <f>0+'táj.2.'!L12</f>
        <v>32405</v>
      </c>
      <c r="F14" s="261">
        <f>169146+'táj.2.'!D12</f>
        <v>184157</v>
      </c>
      <c r="G14" s="261">
        <f>45551+'táj.2.'!E12</f>
        <v>49470</v>
      </c>
      <c r="H14" s="261">
        <f>72784+'táj.2.'!F12</f>
        <v>84575</v>
      </c>
      <c r="I14" s="261">
        <f>0+'táj.2.'!G12</f>
        <v>181</v>
      </c>
      <c r="J14" s="261">
        <f>0+'táj.2.'!H12</f>
        <v>0</v>
      </c>
      <c r="K14" s="261">
        <f>364+'táj.2.'!I12</f>
        <v>1559</v>
      </c>
      <c r="L14" s="261">
        <f>0+'táj.2.'!J12</f>
        <v>0</v>
      </c>
      <c r="M14" s="261">
        <f>0+'táj.2.'!K12</f>
        <v>308</v>
      </c>
      <c r="N14" s="152">
        <f t="shared" si="0"/>
        <v>320250</v>
      </c>
    </row>
    <row r="15" spans="1:14" s="96" customFormat="1" ht="15.75" customHeight="1">
      <c r="A15" s="149">
        <v>2</v>
      </c>
      <c r="B15" s="149">
        <v>11</v>
      </c>
      <c r="C15" s="150" t="s">
        <v>531</v>
      </c>
      <c r="D15" s="261">
        <v>253851</v>
      </c>
      <c r="E15" s="262">
        <f>2426+'táj.2.'!L13</f>
        <v>18262</v>
      </c>
      <c r="F15" s="261">
        <f>143813+'táj.2.'!D13</f>
        <v>153447</v>
      </c>
      <c r="G15" s="261">
        <f>38780+'táj.2.'!E13</f>
        <v>41300</v>
      </c>
      <c r="H15" s="261">
        <f>73425+'táj.2.'!F13</f>
        <v>75210</v>
      </c>
      <c r="I15" s="261">
        <f>0+'táj.2.'!G13</f>
        <v>97</v>
      </c>
      <c r="J15" s="261">
        <f>0+'táj.2.'!H13</f>
        <v>0</v>
      </c>
      <c r="K15" s="261">
        <f>259+'táj.2.'!I13</f>
        <v>259</v>
      </c>
      <c r="L15" s="261">
        <f>0+'táj.2.'!J13</f>
        <v>996</v>
      </c>
      <c r="M15" s="261">
        <f>0+'táj.2.'!K13</f>
        <v>804</v>
      </c>
      <c r="N15" s="152">
        <f t="shared" si="0"/>
        <v>272113</v>
      </c>
    </row>
    <row r="16" spans="1:14" s="96" customFormat="1" ht="15.75" customHeight="1">
      <c r="A16" s="149">
        <v>2</v>
      </c>
      <c r="B16" s="149">
        <v>12</v>
      </c>
      <c r="C16" s="150" t="s">
        <v>95</v>
      </c>
      <c r="D16" s="261">
        <v>212952</v>
      </c>
      <c r="E16" s="262">
        <f>0+'táj.2.'!L14</f>
        <v>14331</v>
      </c>
      <c r="F16" s="261">
        <f>122106+'táj.2.'!D14</f>
        <v>130509</v>
      </c>
      <c r="G16" s="261">
        <f>32180+'táj.2.'!E14</f>
        <v>33162</v>
      </c>
      <c r="H16" s="261">
        <f>57066+'táj.2.'!F14</f>
        <v>61767</v>
      </c>
      <c r="I16" s="261">
        <f>0+'táj.2.'!G14</f>
        <v>20</v>
      </c>
      <c r="J16" s="261">
        <f>0+'táj.2.'!H14</f>
        <v>0</v>
      </c>
      <c r="K16" s="261">
        <f>0+'táj.2.'!I14</f>
        <v>0</v>
      </c>
      <c r="L16" s="261">
        <f>1600+'táj.2.'!J14</f>
        <v>1600</v>
      </c>
      <c r="M16" s="261">
        <f>0+'táj.2.'!K14</f>
        <v>225</v>
      </c>
      <c r="N16" s="152">
        <f t="shared" si="0"/>
        <v>227283</v>
      </c>
    </row>
    <row r="17" spans="1:14" s="96" customFormat="1" ht="15.75" customHeight="1">
      <c r="A17" s="149">
        <v>2</v>
      </c>
      <c r="B17" s="149">
        <v>13</v>
      </c>
      <c r="C17" s="150" t="s">
        <v>532</v>
      </c>
      <c r="D17" s="261">
        <v>233306</v>
      </c>
      <c r="E17" s="262">
        <f>1723+'táj.2.'!L15</f>
        <v>25528</v>
      </c>
      <c r="F17" s="261">
        <f>139317+'táj.2.'!D15</f>
        <v>144462</v>
      </c>
      <c r="G17" s="261">
        <f>37426+'táj.2.'!E15</f>
        <v>38749</v>
      </c>
      <c r="H17" s="261">
        <f>49607+'táj.2.'!F15</f>
        <v>54431</v>
      </c>
      <c r="I17" s="261">
        <f>0+'táj.2.'!G15</f>
        <v>189</v>
      </c>
      <c r="J17" s="261">
        <f>0+'táj.2.'!H15</f>
        <v>0</v>
      </c>
      <c r="K17" s="261">
        <f>100+'táj.2.'!I15</f>
        <v>230</v>
      </c>
      <c r="L17" s="261">
        <f>0+'táj.2.'!J15</f>
        <v>0</v>
      </c>
      <c r="M17" s="261">
        <f>8579+'táj.2.'!K15</f>
        <v>20773</v>
      </c>
      <c r="N17" s="152">
        <f t="shared" si="0"/>
        <v>258834</v>
      </c>
    </row>
    <row r="18" spans="1:14" s="96" customFormat="1" ht="27" customHeight="1">
      <c r="A18" s="149">
        <v>2</v>
      </c>
      <c r="B18" s="149">
        <v>14</v>
      </c>
      <c r="C18" s="157" t="s">
        <v>156</v>
      </c>
      <c r="D18" s="261">
        <v>514073</v>
      </c>
      <c r="E18" s="262">
        <f>43794+'táj.2.'!L16</f>
        <v>92073</v>
      </c>
      <c r="F18" s="261">
        <f>329805+'táj.2.'!D16</f>
        <v>353989</v>
      </c>
      <c r="G18" s="261">
        <f>89156+'táj.2.'!E16</f>
        <v>95426</v>
      </c>
      <c r="H18" s="261">
        <f>95921+'táj.2.'!F16</f>
        <v>105915</v>
      </c>
      <c r="I18" s="261">
        <f>200+'táj.2.'!G16</f>
        <v>752</v>
      </c>
      <c r="J18" s="261">
        <f>0+'táj.2.'!H16</f>
        <v>0</v>
      </c>
      <c r="K18" s="261">
        <f>10170+'táj.2.'!I16</f>
        <v>11865</v>
      </c>
      <c r="L18" s="261">
        <f>0+'táj.2.'!J16</f>
        <v>0</v>
      </c>
      <c r="M18" s="261">
        <f>32615+'táj.2.'!K16</f>
        <v>38199</v>
      </c>
      <c r="N18" s="152">
        <f t="shared" si="0"/>
        <v>606146</v>
      </c>
    </row>
    <row r="19" spans="1:14" s="96" customFormat="1" ht="24" customHeight="1">
      <c r="A19" s="149">
        <v>2</v>
      </c>
      <c r="B19" s="149">
        <v>15</v>
      </c>
      <c r="C19" s="470" t="s">
        <v>668</v>
      </c>
      <c r="D19" s="261">
        <v>441168</v>
      </c>
      <c r="E19" s="262">
        <f>9499+'táj.2.'!L17</f>
        <v>27836</v>
      </c>
      <c r="F19" s="261">
        <f>268701+'táj.2.'!D17</f>
        <v>278772</v>
      </c>
      <c r="G19" s="261">
        <f>72217+'táj.2.'!E17</f>
        <v>74795</v>
      </c>
      <c r="H19" s="261">
        <f>92109+'táj.2.'!F17</f>
        <v>93868</v>
      </c>
      <c r="I19" s="261">
        <f>873+'táj.2.'!G17</f>
        <v>1096</v>
      </c>
      <c r="J19" s="261">
        <f>4031+'táj.2.'!H17</f>
        <v>4031</v>
      </c>
      <c r="K19" s="261">
        <f>6432+'táj.2.'!I17</f>
        <v>9368</v>
      </c>
      <c r="L19" s="261">
        <f>0+'táj.2.'!J17</f>
        <v>0</v>
      </c>
      <c r="M19" s="261">
        <f>6304+'táj.2.'!K17</f>
        <v>7074</v>
      </c>
      <c r="N19" s="152">
        <f t="shared" si="0"/>
        <v>469004</v>
      </c>
    </row>
    <row r="20" spans="1:14" s="96" customFormat="1" ht="15.75" customHeight="1">
      <c r="A20" s="149">
        <v>2</v>
      </c>
      <c r="B20" s="149">
        <v>16</v>
      </c>
      <c r="C20" s="157" t="s">
        <v>949</v>
      </c>
      <c r="D20" s="261">
        <v>461128</v>
      </c>
      <c r="E20" s="262">
        <f>10625+'táj.2.'!L18</f>
        <v>37515</v>
      </c>
      <c r="F20" s="261">
        <f>252891+'táj.2.'!D18</f>
        <v>265872</v>
      </c>
      <c r="G20" s="261">
        <f>67025+'táj.2.'!E18</f>
        <v>70412</v>
      </c>
      <c r="H20" s="261">
        <f>138629+'táj.2.'!F18</f>
        <v>143326</v>
      </c>
      <c r="I20" s="261">
        <f>0+'táj.2.'!G18</f>
        <v>165</v>
      </c>
      <c r="J20" s="261">
        <f>0+'táj.2.'!H18</f>
        <v>0</v>
      </c>
      <c r="K20" s="261">
        <f>7270+'táj.2.'!I18</f>
        <v>12376</v>
      </c>
      <c r="L20" s="261">
        <f>0+'táj.2.'!J18</f>
        <v>0</v>
      </c>
      <c r="M20" s="261">
        <f>5938+'táj.2.'!K18</f>
        <v>6492</v>
      </c>
      <c r="N20" s="152">
        <f t="shared" si="0"/>
        <v>498643</v>
      </c>
    </row>
    <row r="21" spans="1:14" s="96" customFormat="1" ht="15.75" customHeight="1">
      <c r="A21" s="149">
        <v>2</v>
      </c>
      <c r="B21" s="149">
        <v>17</v>
      </c>
      <c r="C21" s="150" t="s">
        <v>90</v>
      </c>
      <c r="D21" s="261">
        <v>323413</v>
      </c>
      <c r="E21" s="262">
        <f>0+'táj.2.'!L19</f>
        <v>16409</v>
      </c>
      <c r="F21" s="261">
        <f>137143+'táj.2.'!D19</f>
        <v>141533</v>
      </c>
      <c r="G21" s="261">
        <f>36435+'táj.2.'!E19</f>
        <v>37576</v>
      </c>
      <c r="H21" s="261">
        <f>138835+'táj.2.'!F19</f>
        <v>145678</v>
      </c>
      <c r="I21" s="261">
        <f>0+'táj.2.'!G19</f>
        <v>186</v>
      </c>
      <c r="J21" s="261">
        <f>0+'táj.2.'!H19</f>
        <v>0</v>
      </c>
      <c r="K21" s="261">
        <f>1000+'táj.2.'!I19</f>
        <v>1000</v>
      </c>
      <c r="L21" s="261">
        <f>10000+'táj.2.'!J19</f>
        <v>13729</v>
      </c>
      <c r="M21" s="261">
        <f>0+'táj.2.'!K19</f>
        <v>120</v>
      </c>
      <c r="N21" s="152">
        <f t="shared" si="0"/>
        <v>339822</v>
      </c>
    </row>
    <row r="22" spans="1:14" s="96" customFormat="1" ht="15.75" customHeight="1">
      <c r="A22" s="154"/>
      <c r="B22" s="154"/>
      <c r="C22" s="155" t="s">
        <v>100</v>
      </c>
      <c r="D22" s="156">
        <f>SUM(D14:D21)</f>
        <v>2727736</v>
      </c>
      <c r="E22" s="156">
        <f>SUM(E14:E21)</f>
        <v>264359</v>
      </c>
      <c r="F22" s="317">
        <f aca="true" t="shared" si="2" ref="F22:M22">SUM(F14:F21)</f>
        <v>1652741</v>
      </c>
      <c r="G22" s="317">
        <f t="shared" si="2"/>
        <v>440890</v>
      </c>
      <c r="H22" s="317">
        <f t="shared" si="2"/>
        <v>764770</v>
      </c>
      <c r="I22" s="317">
        <f t="shared" si="2"/>
        <v>2686</v>
      </c>
      <c r="J22" s="317">
        <f t="shared" si="2"/>
        <v>4031</v>
      </c>
      <c r="K22" s="317">
        <f t="shared" si="2"/>
        <v>36657</v>
      </c>
      <c r="L22" s="317">
        <f t="shared" si="2"/>
        <v>16325</v>
      </c>
      <c r="M22" s="317">
        <f t="shared" si="2"/>
        <v>73995</v>
      </c>
      <c r="N22" s="319">
        <f t="shared" si="0"/>
        <v>2992095</v>
      </c>
    </row>
    <row r="23" spans="1:14" s="98" customFormat="1" ht="15.75" customHeight="1">
      <c r="A23" s="154"/>
      <c r="B23" s="154"/>
      <c r="C23" s="155" t="s">
        <v>533</v>
      </c>
      <c r="D23" s="159">
        <f>SUM(D13+D22)</f>
        <v>5034295</v>
      </c>
      <c r="E23" s="159">
        <f>SUM(E13+E22)</f>
        <v>409332</v>
      </c>
      <c r="F23" s="317">
        <f aca="true" t="shared" si="3" ref="F23:M23">SUM(F13+F22)</f>
        <v>3013585</v>
      </c>
      <c r="G23" s="317">
        <f t="shared" si="3"/>
        <v>803137</v>
      </c>
      <c r="H23" s="317">
        <f t="shared" si="3"/>
        <v>1448316</v>
      </c>
      <c r="I23" s="317">
        <f t="shared" si="3"/>
        <v>13978</v>
      </c>
      <c r="J23" s="317">
        <f t="shared" si="3"/>
        <v>4031</v>
      </c>
      <c r="K23" s="317">
        <f t="shared" si="3"/>
        <v>44748</v>
      </c>
      <c r="L23" s="317">
        <f t="shared" si="3"/>
        <v>35977</v>
      </c>
      <c r="M23" s="317">
        <f t="shared" si="3"/>
        <v>79855</v>
      </c>
      <c r="N23" s="319">
        <f t="shared" si="0"/>
        <v>5443627</v>
      </c>
    </row>
    <row r="24" spans="1:14" s="96" customFormat="1" ht="15.75" customHeight="1">
      <c r="A24" s="149">
        <v>2</v>
      </c>
      <c r="B24" s="149">
        <v>18</v>
      </c>
      <c r="C24" s="150" t="s">
        <v>526</v>
      </c>
      <c r="D24" s="261">
        <v>727515</v>
      </c>
      <c r="E24" s="262">
        <f>0+'táj.2.'!L22</f>
        <v>213448</v>
      </c>
      <c r="F24" s="261">
        <f>387314+'táj.2.'!D22</f>
        <v>406360</v>
      </c>
      <c r="G24" s="261">
        <f>100471+'táj.2.'!E22</f>
        <v>105638</v>
      </c>
      <c r="H24" s="261">
        <f>239730+'táj.2.'!F22</f>
        <v>364959</v>
      </c>
      <c r="I24" s="261">
        <f>0+'táj.2.'!G22</f>
        <v>61816</v>
      </c>
      <c r="J24" s="261">
        <f>0+'táj.2.'!H22</f>
        <v>0</v>
      </c>
      <c r="K24" s="261">
        <f>0+'táj.2.'!I22</f>
        <v>0</v>
      </c>
      <c r="L24" s="261">
        <f>0+'táj.2.'!J22</f>
        <v>1800</v>
      </c>
      <c r="M24" s="261">
        <f>0+'táj.2.'!K22</f>
        <v>390</v>
      </c>
      <c r="N24" s="152">
        <f t="shared" si="0"/>
        <v>940963</v>
      </c>
    </row>
    <row r="25" spans="1:14" s="96" customFormat="1" ht="15.75" customHeight="1">
      <c r="A25" s="149"/>
      <c r="B25" s="634" t="s">
        <v>1109</v>
      </c>
      <c r="C25" s="150" t="s">
        <v>534</v>
      </c>
      <c r="D25" s="261">
        <v>335421</v>
      </c>
      <c r="E25" s="262">
        <f>0+'táj.2.'!L23</f>
        <v>13308</v>
      </c>
      <c r="F25" s="261">
        <f>169967+'táj.2.'!D23</f>
        <v>179710</v>
      </c>
      <c r="G25" s="261">
        <f>44416+'táj.2.'!E23</f>
        <v>47022</v>
      </c>
      <c r="H25" s="261">
        <f>121038+'táj.2.'!F23</f>
        <v>121097</v>
      </c>
      <c r="I25" s="261">
        <f>0+'táj.2.'!G23</f>
        <v>0</v>
      </c>
      <c r="J25" s="261">
        <f>0+'táj.2.'!H23</f>
        <v>0</v>
      </c>
      <c r="K25" s="261">
        <f>0+'táj.2.'!I23</f>
        <v>0</v>
      </c>
      <c r="L25" s="261">
        <f>0+'táj.2.'!J23</f>
        <v>900</v>
      </c>
      <c r="M25" s="261">
        <f>0+'táj.2.'!K23</f>
        <v>0</v>
      </c>
      <c r="N25" s="152">
        <f t="shared" si="0"/>
        <v>348729</v>
      </c>
    </row>
    <row r="26" spans="1:14" s="96" customFormat="1" ht="15.75" customHeight="1">
      <c r="A26" s="149"/>
      <c r="B26" s="634" t="s">
        <v>1110</v>
      </c>
      <c r="C26" s="150" t="s">
        <v>688</v>
      </c>
      <c r="D26" s="261">
        <v>94565</v>
      </c>
      <c r="E26" s="262">
        <f>0+'táj.2.'!L24</f>
        <v>8245</v>
      </c>
      <c r="F26" s="261">
        <f>65555+'táj.2.'!D24</f>
        <v>68905</v>
      </c>
      <c r="G26" s="261">
        <f>16635+'táj.2.'!E24</f>
        <v>17610</v>
      </c>
      <c r="H26" s="261">
        <f>12375+'táj.2.'!F24</f>
        <v>13905</v>
      </c>
      <c r="I26" s="261">
        <f>0+'táj.2.'!G24</f>
        <v>2000</v>
      </c>
      <c r="J26" s="261">
        <f>0+'táj.2.'!H24</f>
        <v>0</v>
      </c>
      <c r="K26" s="261">
        <f>0+'táj.2.'!I24</f>
        <v>0</v>
      </c>
      <c r="L26" s="261">
        <f>0+'táj.2.'!J24</f>
        <v>0</v>
      </c>
      <c r="M26" s="261">
        <f>0+'táj.2.'!K24</f>
        <v>390</v>
      </c>
      <c r="N26" s="152">
        <f t="shared" si="0"/>
        <v>102810</v>
      </c>
    </row>
    <row r="27" spans="1:14" s="96" customFormat="1" ht="15.75" customHeight="1">
      <c r="A27" s="149"/>
      <c r="B27" s="634" t="s">
        <v>1111</v>
      </c>
      <c r="C27" s="150" t="s">
        <v>689</v>
      </c>
      <c r="D27" s="261">
        <v>242606</v>
      </c>
      <c r="E27" s="262">
        <f>0+'táj.2.'!L25</f>
        <v>77144</v>
      </c>
      <c r="F27" s="261">
        <f>130774+'táj.2.'!D25</f>
        <v>132977</v>
      </c>
      <c r="G27" s="261">
        <f>34145+'táj.2.'!E25</f>
        <v>34739</v>
      </c>
      <c r="H27" s="261">
        <f>77687+'táj.2.'!F25</f>
        <v>148734</v>
      </c>
      <c r="I27" s="261">
        <f>0+'táj.2.'!G25</f>
        <v>2400</v>
      </c>
      <c r="J27" s="261">
        <f>0+'táj.2.'!H25</f>
        <v>0</v>
      </c>
      <c r="K27" s="261">
        <f>0+'táj.2.'!I25</f>
        <v>0</v>
      </c>
      <c r="L27" s="261">
        <f>0+'táj.2.'!J25</f>
        <v>900</v>
      </c>
      <c r="M27" s="261">
        <f>0+'táj.2.'!K25</f>
        <v>0</v>
      </c>
      <c r="N27" s="152">
        <f t="shared" si="0"/>
        <v>319750</v>
      </c>
    </row>
    <row r="28" spans="1:14" s="96" customFormat="1" ht="15.75" customHeight="1">
      <c r="A28" s="149"/>
      <c r="B28" s="634" t="s">
        <v>1112</v>
      </c>
      <c r="C28" s="150" t="s">
        <v>675</v>
      </c>
      <c r="D28" s="261">
        <v>54923</v>
      </c>
      <c r="E28" s="262">
        <f>0+'táj.2.'!L26</f>
        <v>114751</v>
      </c>
      <c r="F28" s="261">
        <f>21018+'táj.2.'!D26</f>
        <v>24768</v>
      </c>
      <c r="G28" s="261">
        <f>5275+'táj.2.'!E26</f>
        <v>6267</v>
      </c>
      <c r="H28" s="261">
        <f>28630+'táj.2.'!F26</f>
        <v>81223</v>
      </c>
      <c r="I28" s="261">
        <f>0+'táj.2.'!G26</f>
        <v>57416</v>
      </c>
      <c r="J28" s="261">
        <f>0+'táj.2.'!H26</f>
        <v>0</v>
      </c>
      <c r="K28" s="261">
        <f>0+'táj.2.'!I26</f>
        <v>0</v>
      </c>
      <c r="L28" s="261">
        <f>0+'táj.2.'!J26</f>
        <v>0</v>
      </c>
      <c r="M28" s="261">
        <f>0+'táj.2.'!K26</f>
        <v>0</v>
      </c>
      <c r="N28" s="152">
        <f t="shared" si="0"/>
        <v>169674</v>
      </c>
    </row>
    <row r="29" spans="1:14" s="96" customFormat="1" ht="15.75" customHeight="1">
      <c r="A29" s="149">
        <v>2</v>
      </c>
      <c r="B29" s="635">
        <v>19</v>
      </c>
      <c r="C29" s="150" t="s">
        <v>537</v>
      </c>
      <c r="D29" s="261">
        <v>496640</v>
      </c>
      <c r="E29" s="262">
        <f>411+'táj.2.'!L27</f>
        <v>47077</v>
      </c>
      <c r="F29" s="261">
        <f>249878+'táj.2.'!D27</f>
        <v>271071</v>
      </c>
      <c r="G29" s="261">
        <f>65470+'táj.2.'!E27</f>
        <v>69104</v>
      </c>
      <c r="H29" s="261">
        <f>174703+'táj.2.'!F27</f>
        <v>193846</v>
      </c>
      <c r="I29" s="261">
        <f>0+'táj.2.'!G27</f>
        <v>0</v>
      </c>
      <c r="J29" s="261">
        <f>0+'táj.2.'!H27</f>
        <v>0</v>
      </c>
      <c r="K29" s="261">
        <f>0+'táj.2.'!I27</f>
        <v>0</v>
      </c>
      <c r="L29" s="261">
        <f>0+'táj.2.'!J27</f>
        <v>1657</v>
      </c>
      <c r="M29" s="261">
        <f>7000+'táj.2.'!K27</f>
        <v>8039</v>
      </c>
      <c r="N29" s="152">
        <f t="shared" si="0"/>
        <v>543717</v>
      </c>
    </row>
    <row r="30" spans="1:14" s="96" customFormat="1" ht="15.75" customHeight="1">
      <c r="A30" s="149">
        <v>2</v>
      </c>
      <c r="B30" s="635">
        <v>20</v>
      </c>
      <c r="C30" s="150" t="s">
        <v>538</v>
      </c>
      <c r="D30" s="261">
        <v>850034</v>
      </c>
      <c r="E30" s="262">
        <f>0+'táj.2.'!L28</f>
        <v>39459</v>
      </c>
      <c r="F30" s="261">
        <f>482810+'táj.2.'!D28</f>
        <v>502551</v>
      </c>
      <c r="G30" s="261">
        <f>130360+'táj.2.'!E28</f>
        <v>135345</v>
      </c>
      <c r="H30" s="261">
        <f>236864+'táj.2.'!F28</f>
        <v>240100</v>
      </c>
      <c r="I30" s="261">
        <f>0+'táj.2.'!G28</f>
        <v>11497</v>
      </c>
      <c r="J30" s="261">
        <f>0+'táj.2.'!H28</f>
        <v>0</v>
      </c>
      <c r="K30" s="261">
        <f>0+'táj.2.'!I28</f>
        <v>0</v>
      </c>
      <c r="L30" s="261">
        <f>0+'táj.2.'!J28</f>
        <v>0</v>
      </c>
      <c r="M30" s="261">
        <f>0+'táj.2.'!K28</f>
        <v>0</v>
      </c>
      <c r="N30" s="152">
        <f t="shared" si="0"/>
        <v>889493</v>
      </c>
    </row>
    <row r="31" spans="1:14" s="96" customFormat="1" ht="15.75" customHeight="1">
      <c r="A31" s="149"/>
      <c r="B31" s="634" t="s">
        <v>994</v>
      </c>
      <c r="C31" s="21" t="s">
        <v>680</v>
      </c>
      <c r="D31" s="261">
        <v>200704</v>
      </c>
      <c r="E31" s="262">
        <f>0+'táj.2.'!L29</f>
        <v>9141</v>
      </c>
      <c r="F31" s="261">
        <f>122063+'táj.2.'!D29</f>
        <v>126990</v>
      </c>
      <c r="G31" s="261">
        <f>32957+'táj.2.'!E29</f>
        <v>34211</v>
      </c>
      <c r="H31" s="261">
        <f>45684+'táj.2.'!F29</f>
        <v>48644</v>
      </c>
      <c r="I31" s="261">
        <f>0+'táj.2.'!G29</f>
        <v>0</v>
      </c>
      <c r="J31" s="261">
        <f>0+'táj.2.'!H29</f>
        <v>0</v>
      </c>
      <c r="K31" s="261">
        <f>0+'táj.2.'!I29</f>
        <v>0</v>
      </c>
      <c r="L31" s="261">
        <f>0+'táj.2.'!J29</f>
        <v>0</v>
      </c>
      <c r="M31" s="261">
        <f>0+'táj.2.'!K29</f>
        <v>0</v>
      </c>
      <c r="N31" s="152">
        <f t="shared" si="0"/>
        <v>209845</v>
      </c>
    </row>
    <row r="32" spans="1:14" s="96" customFormat="1" ht="15.75" customHeight="1">
      <c r="A32" s="149"/>
      <c r="B32" s="634" t="s">
        <v>995</v>
      </c>
      <c r="C32" s="21" t="s">
        <v>681</v>
      </c>
      <c r="D32" s="261">
        <v>211469</v>
      </c>
      <c r="E32" s="262">
        <f>0+'táj.2.'!L30</f>
        <v>9750</v>
      </c>
      <c r="F32" s="261">
        <f>125388+'táj.2.'!D30</f>
        <v>130398</v>
      </c>
      <c r="G32" s="261">
        <f>33855+'táj.2.'!E30</f>
        <v>35117</v>
      </c>
      <c r="H32" s="261">
        <f>52226+'táj.2.'!F30</f>
        <v>55704</v>
      </c>
      <c r="I32" s="261">
        <f>0+'táj.2.'!G30</f>
        <v>0</v>
      </c>
      <c r="J32" s="261">
        <f>0+'táj.2.'!H30</f>
        <v>0</v>
      </c>
      <c r="K32" s="261">
        <f>0+'táj.2.'!I30</f>
        <v>0</v>
      </c>
      <c r="L32" s="261">
        <f>0+'táj.2.'!J30</f>
        <v>0</v>
      </c>
      <c r="M32" s="261">
        <f>0+'táj.2.'!K30</f>
        <v>0</v>
      </c>
      <c r="N32" s="152">
        <f t="shared" si="0"/>
        <v>221219</v>
      </c>
    </row>
    <row r="33" spans="1:14" s="96" customFormat="1" ht="15.75" customHeight="1">
      <c r="A33" s="149"/>
      <c r="B33" s="634" t="s">
        <v>996</v>
      </c>
      <c r="C33" s="21" t="s">
        <v>682</v>
      </c>
      <c r="D33" s="261">
        <v>167655</v>
      </c>
      <c r="E33" s="262">
        <f>0+'táj.2.'!L31</f>
        <v>6899</v>
      </c>
      <c r="F33" s="261">
        <f>96332+'táj.2.'!D31</f>
        <v>100505</v>
      </c>
      <c r="G33" s="261">
        <f>26010+'táj.2.'!E31</f>
        <v>27065</v>
      </c>
      <c r="H33" s="261">
        <f>45313+'táj.2.'!F31</f>
        <v>46984</v>
      </c>
      <c r="I33" s="261">
        <f>0+'táj.2.'!G31</f>
        <v>0</v>
      </c>
      <c r="J33" s="261">
        <f>0+'táj.2.'!H31</f>
        <v>0</v>
      </c>
      <c r="K33" s="261">
        <f>0+'táj.2.'!I31</f>
        <v>0</v>
      </c>
      <c r="L33" s="261">
        <f>0+'táj.2.'!J31</f>
        <v>0</v>
      </c>
      <c r="M33" s="261">
        <f>0+'táj.2.'!K31</f>
        <v>0</v>
      </c>
      <c r="N33" s="152">
        <f t="shared" si="0"/>
        <v>174554</v>
      </c>
    </row>
    <row r="34" spans="1:14" s="96" customFormat="1" ht="15.75" customHeight="1">
      <c r="A34" s="149"/>
      <c r="B34" s="634" t="s">
        <v>1113</v>
      </c>
      <c r="C34" s="21" t="s">
        <v>683</v>
      </c>
      <c r="D34" s="261">
        <v>204766</v>
      </c>
      <c r="E34" s="262">
        <f>0+'táj.2.'!L32</f>
        <v>9512</v>
      </c>
      <c r="F34" s="261">
        <f>125369+'táj.2.'!D32</f>
        <v>130488</v>
      </c>
      <c r="G34" s="261">
        <f>33850+'táj.2.'!E32</f>
        <v>35125</v>
      </c>
      <c r="H34" s="261">
        <f>45547+'táj.2.'!F32</f>
        <v>48665</v>
      </c>
      <c r="I34" s="261">
        <f>0+'táj.2.'!G32</f>
        <v>0</v>
      </c>
      <c r="J34" s="261">
        <f>0+'táj.2.'!H32</f>
        <v>0</v>
      </c>
      <c r="K34" s="261">
        <f>0+'táj.2.'!I32</f>
        <v>0</v>
      </c>
      <c r="L34" s="261">
        <f>0+'táj.2.'!J32</f>
        <v>0</v>
      </c>
      <c r="M34" s="261">
        <f>0+'táj.2.'!K32</f>
        <v>0</v>
      </c>
      <c r="N34" s="152">
        <f t="shared" si="0"/>
        <v>214278</v>
      </c>
    </row>
    <row r="35" spans="1:14" s="96" customFormat="1" ht="15.75" customHeight="1">
      <c r="A35" s="149"/>
      <c r="B35" s="634" t="s">
        <v>1114</v>
      </c>
      <c r="C35" s="150" t="s">
        <v>676</v>
      </c>
      <c r="D35" s="261">
        <v>65440</v>
      </c>
      <c r="E35" s="262">
        <f>0+'táj.2.'!L33</f>
        <v>4157</v>
      </c>
      <c r="F35" s="261">
        <f>13658+'táj.2.'!D33</f>
        <v>14170</v>
      </c>
      <c r="G35" s="261">
        <f>3688+'táj.2.'!E33</f>
        <v>3827</v>
      </c>
      <c r="H35" s="261">
        <f>48094+'táj.2.'!F33</f>
        <v>40103</v>
      </c>
      <c r="I35" s="261">
        <f>0+'táj.2.'!G33</f>
        <v>11497</v>
      </c>
      <c r="J35" s="261">
        <f>0+'táj.2.'!H33</f>
        <v>0</v>
      </c>
      <c r="K35" s="261">
        <f>0+'táj.2.'!I33</f>
        <v>0</v>
      </c>
      <c r="L35" s="261">
        <f>0+'táj.2.'!J33</f>
        <v>0</v>
      </c>
      <c r="M35" s="261">
        <f>0+'táj.2.'!K33</f>
        <v>0</v>
      </c>
      <c r="N35" s="152">
        <f t="shared" si="0"/>
        <v>69597</v>
      </c>
    </row>
    <row r="36" spans="1:14" s="96" customFormat="1" ht="15.75" customHeight="1">
      <c r="A36" s="149">
        <v>2</v>
      </c>
      <c r="B36" s="635">
        <v>21</v>
      </c>
      <c r="C36" s="21" t="s">
        <v>113</v>
      </c>
      <c r="D36" s="261">
        <v>254211</v>
      </c>
      <c r="E36" s="262">
        <f>110+'táj.2.'!L34</f>
        <v>44231</v>
      </c>
      <c r="F36" s="261">
        <f>128171+'táj.2.'!D34</f>
        <v>139101</v>
      </c>
      <c r="G36" s="261">
        <f>33855+'táj.2.'!E34</f>
        <v>35807</v>
      </c>
      <c r="H36" s="261">
        <f>92295+'táj.2.'!F34</f>
        <v>105294</v>
      </c>
      <c r="I36" s="261">
        <f>0+'táj.2.'!G34</f>
        <v>14490</v>
      </c>
      <c r="J36" s="261">
        <f>0+'táj.2.'!H34</f>
        <v>0</v>
      </c>
      <c r="K36" s="261">
        <f>0+'táj.2.'!I34</f>
        <v>0</v>
      </c>
      <c r="L36" s="261">
        <f>0+'táj.2.'!J34</f>
        <v>0</v>
      </c>
      <c r="M36" s="261">
        <f>0+'táj.2.'!K34</f>
        <v>3750</v>
      </c>
      <c r="N36" s="152">
        <f t="shared" si="0"/>
        <v>298442</v>
      </c>
    </row>
    <row r="37" spans="1:14" s="96" customFormat="1" ht="15.75" customHeight="1">
      <c r="A37" s="149"/>
      <c r="B37" s="634" t="s">
        <v>1115</v>
      </c>
      <c r="C37" s="150" t="s">
        <v>539</v>
      </c>
      <c r="D37" s="261">
        <v>58036</v>
      </c>
      <c r="E37" s="262">
        <f>0+'táj.2.'!L35</f>
        <v>11699</v>
      </c>
      <c r="F37" s="261">
        <f>38670+'táj.2.'!D35</f>
        <v>40551</v>
      </c>
      <c r="G37" s="261">
        <f>10293+'táj.2.'!E35</f>
        <v>10801</v>
      </c>
      <c r="H37" s="261">
        <f>9073+'táj.2.'!F35</f>
        <v>16871</v>
      </c>
      <c r="I37" s="261">
        <f>0+'táj.2.'!G35</f>
        <v>0</v>
      </c>
      <c r="J37" s="261">
        <f>0+'táj.2.'!H35</f>
        <v>0</v>
      </c>
      <c r="K37" s="261">
        <f>0+'táj.2.'!I35</f>
        <v>0</v>
      </c>
      <c r="L37" s="261">
        <f>0+'táj.2.'!J35</f>
        <v>0</v>
      </c>
      <c r="M37" s="261">
        <f>0+'táj.2.'!K35</f>
        <v>1512</v>
      </c>
      <c r="N37" s="152">
        <f t="shared" si="0"/>
        <v>69735</v>
      </c>
    </row>
    <row r="38" spans="1:14" s="96" customFormat="1" ht="15.75" customHeight="1">
      <c r="A38" s="149"/>
      <c r="B38" s="634" t="s">
        <v>1116</v>
      </c>
      <c r="C38" s="150" t="s">
        <v>114</v>
      </c>
      <c r="D38" s="261">
        <v>180601</v>
      </c>
      <c r="E38" s="262">
        <f>110+'táj.2.'!L36</f>
        <v>26403</v>
      </c>
      <c r="F38" s="261">
        <f>80040+'táj.2.'!D36</f>
        <v>88115</v>
      </c>
      <c r="G38" s="261">
        <f>21012+'táj.2.'!E36</f>
        <v>22197</v>
      </c>
      <c r="H38" s="261">
        <f>79659+'táj.2.'!F36</f>
        <v>79964</v>
      </c>
      <c r="I38" s="261">
        <f>0+'táj.2.'!G36</f>
        <v>14490</v>
      </c>
      <c r="J38" s="261">
        <f>0+'táj.2.'!H36</f>
        <v>0</v>
      </c>
      <c r="K38" s="261">
        <f>0+'táj.2.'!I36</f>
        <v>0</v>
      </c>
      <c r="L38" s="261">
        <f>0+'táj.2.'!J36</f>
        <v>0</v>
      </c>
      <c r="M38" s="261">
        <f>0+'táj.2.'!K36</f>
        <v>2238</v>
      </c>
      <c r="N38" s="152">
        <f t="shared" si="0"/>
        <v>207004</v>
      </c>
    </row>
    <row r="39" spans="1:15" s="96" customFormat="1" ht="15.75" customHeight="1">
      <c r="A39" s="149"/>
      <c r="B39" s="634" t="s">
        <v>1117</v>
      </c>
      <c r="C39" s="150" t="s">
        <v>103</v>
      </c>
      <c r="D39" s="261">
        <v>15574</v>
      </c>
      <c r="E39" s="262">
        <f>0+'táj.2.'!L37</f>
        <v>6129</v>
      </c>
      <c r="F39" s="261">
        <f>9461+'táj.2.'!D37</f>
        <v>10435</v>
      </c>
      <c r="G39" s="261">
        <f>2550+'táj.2.'!E37</f>
        <v>2809</v>
      </c>
      <c r="H39" s="261">
        <f>3563+'táj.2.'!F37</f>
        <v>8459</v>
      </c>
      <c r="I39" s="261">
        <f>0+'táj.2.'!G37</f>
        <v>0</v>
      </c>
      <c r="J39" s="261">
        <f>0+'táj.2.'!H37</f>
        <v>0</v>
      </c>
      <c r="K39" s="261">
        <f>0+'táj.2.'!I37</f>
        <v>0</v>
      </c>
      <c r="L39" s="261">
        <f>0+'táj.2.'!J37</f>
        <v>0</v>
      </c>
      <c r="M39" s="261">
        <f>0+'táj.2.'!K37</f>
        <v>0</v>
      </c>
      <c r="N39" s="152">
        <f t="shared" si="0"/>
        <v>21703</v>
      </c>
      <c r="O39" s="307"/>
    </row>
    <row r="40" spans="1:14" s="96" customFormat="1" ht="15.75" customHeight="1">
      <c r="A40" s="149">
        <v>2</v>
      </c>
      <c r="B40" s="635">
        <v>22</v>
      </c>
      <c r="C40" s="150" t="s">
        <v>540</v>
      </c>
      <c r="D40" s="261">
        <v>25400</v>
      </c>
      <c r="E40" s="262">
        <f>0+'táj.2.'!L38</f>
        <v>1380</v>
      </c>
      <c r="F40" s="261">
        <f>14159+'táj.2.'!D38</f>
        <v>14958</v>
      </c>
      <c r="G40" s="261">
        <f>3682+'táj.2.'!E38</f>
        <v>3871</v>
      </c>
      <c r="H40" s="261">
        <f>7559+'táj.2.'!F38</f>
        <v>7951</v>
      </c>
      <c r="I40" s="261">
        <f>0+'táj.2.'!G38</f>
        <v>0</v>
      </c>
      <c r="J40" s="261">
        <f>0+'táj.2.'!H38</f>
        <v>0</v>
      </c>
      <c r="K40" s="261">
        <f>0+'táj.2.'!I38</f>
        <v>0</v>
      </c>
      <c r="L40" s="261">
        <f>0+'táj.2.'!J38</f>
        <v>0</v>
      </c>
      <c r="M40" s="261">
        <f>0+'táj.2.'!K38</f>
        <v>0</v>
      </c>
      <c r="N40" s="152">
        <f t="shared" si="0"/>
        <v>26780</v>
      </c>
    </row>
    <row r="41" spans="1:14" s="96" customFormat="1" ht="15.75" customHeight="1">
      <c r="A41" s="149">
        <v>2</v>
      </c>
      <c r="B41" s="635">
        <v>23</v>
      </c>
      <c r="C41" s="150" t="s">
        <v>541</v>
      </c>
      <c r="D41" s="261">
        <v>96194</v>
      </c>
      <c r="E41" s="262">
        <f>8440+'táj.2.'!L39</f>
        <v>9990</v>
      </c>
      <c r="F41" s="261">
        <f>34536+'táj.2.'!D39</f>
        <v>35561</v>
      </c>
      <c r="G41" s="261">
        <f>9204+'táj.2.'!E39</f>
        <v>9481</v>
      </c>
      <c r="H41" s="261">
        <f>58394+'táj.2.'!F39</f>
        <v>58542</v>
      </c>
      <c r="I41" s="261">
        <f>0+'táj.2.'!G39</f>
        <v>0</v>
      </c>
      <c r="J41" s="261">
        <f>0+'táj.2.'!H39</f>
        <v>0</v>
      </c>
      <c r="K41" s="261">
        <f>0+'táj.2.'!I39</f>
        <v>0</v>
      </c>
      <c r="L41" s="261">
        <f>0+'táj.2.'!J39</f>
        <v>100</v>
      </c>
      <c r="M41" s="261">
        <f>2500+'táj.2.'!K39</f>
        <v>2500</v>
      </c>
      <c r="N41" s="152">
        <f t="shared" si="0"/>
        <v>106184</v>
      </c>
    </row>
    <row r="42" spans="1:14" s="96" customFormat="1" ht="15.75" customHeight="1">
      <c r="A42" s="149">
        <v>2</v>
      </c>
      <c r="B42" s="635">
        <v>24</v>
      </c>
      <c r="C42" s="150" t="s">
        <v>542</v>
      </c>
      <c r="D42" s="261">
        <v>90000</v>
      </c>
      <c r="E42" s="262">
        <f>0+'táj.2.'!L40</f>
        <v>5239</v>
      </c>
      <c r="F42" s="261">
        <f>25341+'táj.2.'!D40</f>
        <v>28235</v>
      </c>
      <c r="G42" s="261">
        <f>6396+'táj.2.'!E40</f>
        <v>7291</v>
      </c>
      <c r="H42" s="261">
        <f>57963+'táj.2.'!F40</f>
        <v>59413</v>
      </c>
      <c r="I42" s="261">
        <f>0+'táj.2.'!G40</f>
        <v>0</v>
      </c>
      <c r="J42" s="261">
        <f>0+'táj.2.'!H40</f>
        <v>0</v>
      </c>
      <c r="K42" s="261">
        <f>0+'táj.2.'!I40</f>
        <v>0</v>
      </c>
      <c r="L42" s="261">
        <f>300+'táj.2.'!J40</f>
        <v>0</v>
      </c>
      <c r="M42" s="261">
        <f>0+'táj.2.'!K40</f>
        <v>300</v>
      </c>
      <c r="N42" s="152">
        <f t="shared" si="0"/>
        <v>95239</v>
      </c>
    </row>
    <row r="43" spans="1:14" s="96" customFormat="1" ht="15.75" customHeight="1">
      <c r="A43" s="149">
        <v>2</v>
      </c>
      <c r="B43" s="635">
        <v>25</v>
      </c>
      <c r="C43" s="150" t="s">
        <v>946</v>
      </c>
      <c r="D43" s="261">
        <v>700851</v>
      </c>
      <c r="E43" s="262">
        <f>1652+'táj.2.'!L41</f>
        <v>20169</v>
      </c>
      <c r="F43" s="261">
        <f>331071+'táj.2.'!D41</f>
        <v>336361</v>
      </c>
      <c r="G43" s="261">
        <f>76314+'táj.2.'!E41</f>
        <v>77413</v>
      </c>
      <c r="H43" s="261">
        <f>295118+'táj.2.'!F41</f>
        <v>301063</v>
      </c>
      <c r="I43" s="261">
        <f>0+'táj.2.'!G41</f>
        <v>6183</v>
      </c>
      <c r="J43" s="261">
        <f>0+'táj.2.'!H41</f>
        <v>0</v>
      </c>
      <c r="K43" s="261">
        <f>0+'táj.2.'!I41</f>
        <v>0</v>
      </c>
      <c r="L43" s="261">
        <f>0+'táj.2.'!J41</f>
        <v>0</v>
      </c>
      <c r="M43" s="261">
        <f>0+'táj.2.'!K41</f>
        <v>0</v>
      </c>
      <c r="N43" s="152">
        <f t="shared" si="0"/>
        <v>721020</v>
      </c>
    </row>
    <row r="44" spans="1:14" s="96" customFormat="1" ht="15.75" customHeight="1">
      <c r="A44" s="149"/>
      <c r="B44" s="634" t="s">
        <v>998</v>
      </c>
      <c r="C44" s="150" t="s">
        <v>116</v>
      </c>
      <c r="D44" s="261">
        <v>598030</v>
      </c>
      <c r="E44" s="262">
        <f>1652+'táj.2.'!L42</f>
        <v>17742</v>
      </c>
      <c r="F44" s="261">
        <f>284158+'táj.2.'!D42</f>
        <v>287711</v>
      </c>
      <c r="G44" s="261">
        <f>65292+'táj.2.'!E42</f>
        <v>66101</v>
      </c>
      <c r="H44" s="261">
        <f>250232+'táj.2.'!F42</f>
        <v>255777</v>
      </c>
      <c r="I44" s="261">
        <f>0+'táj.2.'!G42</f>
        <v>6183</v>
      </c>
      <c r="J44" s="261">
        <f>0+'táj.2.'!H42</f>
        <v>0</v>
      </c>
      <c r="K44" s="261">
        <f>0+'táj.2.'!I42</f>
        <v>0</v>
      </c>
      <c r="L44" s="261">
        <f>0+'táj.2.'!J42</f>
        <v>0</v>
      </c>
      <c r="M44" s="261">
        <f>0+'táj.2.'!K42</f>
        <v>0</v>
      </c>
      <c r="N44" s="152">
        <f t="shared" si="0"/>
        <v>615772</v>
      </c>
    </row>
    <row r="45" spans="1:14" s="96" customFormat="1" ht="15.75" customHeight="1">
      <c r="A45" s="149"/>
      <c r="B45" s="462" t="s">
        <v>947</v>
      </c>
      <c r="C45" s="150" t="s">
        <v>115</v>
      </c>
      <c r="D45" s="261">
        <v>102821</v>
      </c>
      <c r="E45" s="262">
        <f>0+'táj.2.'!L43</f>
        <v>2427</v>
      </c>
      <c r="F45" s="261">
        <f>46913+'táj.2.'!D43</f>
        <v>48650</v>
      </c>
      <c r="G45" s="261">
        <f>11022+'táj.2.'!E43</f>
        <v>11312</v>
      </c>
      <c r="H45" s="261">
        <f>44886+'táj.2.'!F43</f>
        <v>45286</v>
      </c>
      <c r="I45" s="261">
        <f>0+'táj.2.'!G43</f>
        <v>0</v>
      </c>
      <c r="J45" s="261">
        <f>0+'táj.2.'!H43</f>
        <v>0</v>
      </c>
      <c r="K45" s="261">
        <f>0+'táj.2.'!I43</f>
        <v>0</v>
      </c>
      <c r="L45" s="261">
        <f>0+'táj.2.'!J43</f>
        <v>0</v>
      </c>
      <c r="M45" s="261">
        <f>0+'táj.2.'!K43</f>
        <v>0</v>
      </c>
      <c r="N45" s="152">
        <f t="shared" si="0"/>
        <v>105248</v>
      </c>
    </row>
    <row r="46" spans="1:14" s="96" customFormat="1" ht="17.25" customHeight="1" thickBot="1">
      <c r="A46" s="154"/>
      <c r="B46" s="154"/>
      <c r="C46" s="155" t="s">
        <v>613</v>
      </c>
      <c r="D46" s="156">
        <f>SUM(D24+D29+D30+D36+D40+D41+D42+D43)</f>
        <v>3240845</v>
      </c>
      <c r="E46" s="317">
        <f>10613+'táj.2.'!L44</f>
        <v>380993</v>
      </c>
      <c r="F46" s="318">
        <f>1653280+'táj.2.'!D44</f>
        <v>1734198</v>
      </c>
      <c r="G46" s="318">
        <f>425752+'táj.2.'!E44</f>
        <v>443950</v>
      </c>
      <c r="H46" s="318">
        <f>1162626+'táj.2.'!F44</f>
        <v>1331168</v>
      </c>
      <c r="I46" s="318">
        <f>0+'táj.2.'!G44</f>
        <v>93986</v>
      </c>
      <c r="J46" s="318">
        <f>0+'táj.2.'!H44</f>
        <v>0</v>
      </c>
      <c r="K46" s="318">
        <f>0+'táj.2.'!I44</f>
        <v>0</v>
      </c>
      <c r="L46" s="318">
        <f>300+'táj.2.'!J44</f>
        <v>3557</v>
      </c>
      <c r="M46" s="318">
        <f>9500+'táj.2.'!K44</f>
        <v>14979</v>
      </c>
      <c r="N46" s="319">
        <f t="shared" si="0"/>
        <v>3621838</v>
      </c>
    </row>
    <row r="47" spans="1:14" s="96" customFormat="1" ht="17.25" customHeight="1" thickBot="1">
      <c r="A47" s="178"/>
      <c r="B47" s="179"/>
      <c r="C47" s="162" t="s">
        <v>614</v>
      </c>
      <c r="D47" s="163">
        <f>SUM(D23+D46+D4)</f>
        <v>9744028</v>
      </c>
      <c r="E47" s="163">
        <f aca="true" t="shared" si="4" ref="E47:M47">SUM(E23+E46+E4)</f>
        <v>680441</v>
      </c>
      <c r="F47" s="163">
        <f t="shared" si="4"/>
        <v>5613993</v>
      </c>
      <c r="G47" s="163">
        <f t="shared" si="4"/>
        <v>1473017</v>
      </c>
      <c r="H47" s="163">
        <f t="shared" si="4"/>
        <v>2977623</v>
      </c>
      <c r="I47" s="163">
        <f t="shared" si="4"/>
        <v>108964</v>
      </c>
      <c r="J47" s="163">
        <f t="shared" si="4"/>
        <v>4031</v>
      </c>
      <c r="K47" s="163">
        <f t="shared" si="4"/>
        <v>44748</v>
      </c>
      <c r="L47" s="163">
        <f t="shared" si="4"/>
        <v>48723</v>
      </c>
      <c r="M47" s="163">
        <f t="shared" si="4"/>
        <v>153370</v>
      </c>
      <c r="N47" s="319">
        <f t="shared" si="0"/>
        <v>10424469</v>
      </c>
    </row>
    <row r="48" spans="1:14" s="96" customFormat="1" ht="12.75">
      <c r="A48" s="180"/>
      <c r="B48" s="180"/>
      <c r="C48" s="165"/>
      <c r="D48" s="166"/>
      <c r="E48" s="320"/>
      <c r="F48" s="166"/>
      <c r="G48" s="166"/>
      <c r="H48" s="166"/>
      <c r="I48" s="166"/>
      <c r="J48" s="166"/>
      <c r="K48" s="166"/>
      <c r="L48" s="166"/>
      <c r="M48" s="166"/>
      <c r="N48" s="166"/>
    </row>
    <row r="49" spans="1:14" s="96" customFormat="1" ht="12.75">
      <c r="A49" s="180"/>
      <c r="B49" s="180"/>
      <c r="C49" s="165"/>
      <c r="D49" s="165"/>
      <c r="E49" s="165"/>
      <c r="F49" s="167"/>
      <c r="G49" s="167"/>
      <c r="H49" s="167"/>
      <c r="I49" s="167"/>
      <c r="J49" s="167"/>
      <c r="K49" s="167"/>
      <c r="L49" s="167"/>
      <c r="M49" s="167"/>
      <c r="N49" s="167"/>
    </row>
    <row r="50" spans="1:14" s="96" customFormat="1" ht="12.75">
      <c r="A50" s="180"/>
      <c r="B50" s="180"/>
      <c r="C50" s="165"/>
      <c r="D50" s="165"/>
      <c r="E50" s="165"/>
      <c r="F50" s="167"/>
      <c r="G50" s="167"/>
      <c r="H50" s="167"/>
      <c r="I50" s="167"/>
      <c r="J50" s="167"/>
      <c r="K50" s="167"/>
      <c r="L50" s="167"/>
      <c r="M50" s="167"/>
      <c r="N50" s="167"/>
    </row>
    <row r="51" spans="1:14" s="96" customFormat="1" ht="12.75">
      <c r="A51" s="180"/>
      <c r="B51" s="180"/>
      <c r="C51" s="165"/>
      <c r="D51" s="165"/>
      <c r="E51" s="165"/>
      <c r="F51" s="167"/>
      <c r="G51" s="167"/>
      <c r="H51" s="167"/>
      <c r="I51" s="167"/>
      <c r="J51" s="167"/>
      <c r="K51" s="167"/>
      <c r="L51" s="167"/>
      <c r="M51" s="167"/>
      <c r="N51" s="167"/>
    </row>
    <row r="52" spans="1:14" s="96" customFormat="1" ht="12.75">
      <c r="A52" s="180"/>
      <c r="B52" s="180"/>
      <c r="C52" s="165"/>
      <c r="D52" s="165"/>
      <c r="E52" s="165"/>
      <c r="F52" s="164"/>
      <c r="G52" s="164"/>
      <c r="H52" s="164"/>
      <c r="I52" s="164"/>
      <c r="J52" s="164"/>
      <c r="K52" s="164"/>
      <c r="L52" s="164"/>
      <c r="M52" s="164"/>
      <c r="N52" s="164"/>
    </row>
    <row r="53" spans="1:14" s="96" customFormat="1" ht="12.75">
      <c r="A53" s="180"/>
      <c r="B53" s="180"/>
      <c r="C53" s="165"/>
      <c r="D53" s="165"/>
      <c r="E53" s="165"/>
      <c r="F53" s="164"/>
      <c r="G53" s="164"/>
      <c r="H53" s="164"/>
      <c r="I53" s="164"/>
      <c r="J53" s="164"/>
      <c r="K53" s="164"/>
      <c r="L53" s="164"/>
      <c r="M53" s="164"/>
      <c r="N53" s="164"/>
    </row>
    <row r="54" spans="1:14" s="96" customFormat="1" ht="12.75">
      <c r="A54" s="180"/>
      <c r="B54" s="180"/>
      <c r="C54" s="165"/>
      <c r="D54" s="165"/>
      <c r="E54" s="165"/>
      <c r="F54" s="164"/>
      <c r="G54" s="164"/>
      <c r="H54" s="164"/>
      <c r="I54" s="164"/>
      <c r="J54" s="164"/>
      <c r="K54" s="164"/>
      <c r="L54" s="164"/>
      <c r="M54" s="164"/>
      <c r="N54" s="164"/>
    </row>
    <row r="55" spans="1:14" s="96" customFormat="1" ht="12.75">
      <c r="A55" s="180"/>
      <c r="B55" s="180"/>
      <c r="C55" s="165"/>
      <c r="D55" s="165"/>
      <c r="E55" s="165"/>
      <c r="F55" s="164"/>
      <c r="G55" s="164"/>
      <c r="H55" s="164"/>
      <c r="I55" s="164"/>
      <c r="J55" s="164"/>
      <c r="K55" s="164"/>
      <c r="L55" s="164"/>
      <c r="M55" s="164"/>
      <c r="N55" s="164"/>
    </row>
    <row r="56" spans="1:14" s="96" customFormat="1" ht="12.75">
      <c r="A56" s="180"/>
      <c r="B56" s="180"/>
      <c r="C56" s="165"/>
      <c r="D56" s="165"/>
      <c r="E56" s="165"/>
      <c r="F56" s="164"/>
      <c r="G56" s="164"/>
      <c r="H56" s="164"/>
      <c r="I56" s="164"/>
      <c r="J56" s="164"/>
      <c r="K56" s="164"/>
      <c r="L56" s="164"/>
      <c r="M56" s="164"/>
      <c r="N56" s="164"/>
    </row>
    <row r="57" spans="1:14" s="96" customFormat="1" ht="12.75">
      <c r="A57" s="180"/>
      <c r="B57" s="180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</row>
    <row r="58" spans="1:14" s="96" customFormat="1" ht="12.75">
      <c r="A58" s="180"/>
      <c r="B58" s="180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</row>
    <row r="59" spans="1:14" s="96" customFormat="1" ht="12.75">
      <c r="A59" s="180"/>
      <c r="B59" s="180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</row>
    <row r="60" spans="1:2" s="96" customFormat="1" ht="12.75">
      <c r="A60" s="99"/>
      <c r="B60" s="99"/>
    </row>
    <row r="61" spans="1:2" s="96" customFormat="1" ht="12.75">
      <c r="A61" s="99"/>
      <c r="B61" s="99"/>
    </row>
    <row r="62" spans="1:2" s="96" customFormat="1" ht="12.75">
      <c r="A62" s="99"/>
      <c r="B62" s="99"/>
    </row>
    <row r="63" spans="1:2" s="96" customFormat="1" ht="12.75">
      <c r="A63" s="99"/>
      <c r="B63" s="99"/>
    </row>
    <row r="64" spans="1:2" s="96" customFormat="1" ht="12.75">
      <c r="A64" s="99"/>
      <c r="B64" s="99"/>
    </row>
    <row r="65" spans="1:2" s="96" customFormat="1" ht="12.75">
      <c r="A65" s="99"/>
      <c r="B65" s="99"/>
    </row>
    <row r="66" spans="1:2" s="96" customFormat="1" ht="12.75">
      <c r="A66" s="99"/>
      <c r="B66" s="99"/>
    </row>
    <row r="67" spans="1:2" s="96" customFormat="1" ht="12.75">
      <c r="A67" s="99"/>
      <c r="B67" s="99"/>
    </row>
    <row r="68" spans="1:2" s="96" customFormat="1" ht="12.75">
      <c r="A68" s="99"/>
      <c r="B68" s="99"/>
    </row>
    <row r="69" spans="1:2" s="96" customFormat="1" ht="12.75">
      <c r="A69" s="99"/>
      <c r="B69" s="99"/>
    </row>
    <row r="70" spans="1:2" s="96" customFormat="1" ht="12.75">
      <c r="A70" s="99"/>
      <c r="B70" s="99"/>
    </row>
    <row r="71" spans="1:2" s="96" customFormat="1" ht="12.75">
      <c r="A71" s="99"/>
      <c r="B71" s="99"/>
    </row>
    <row r="72" spans="1:2" s="96" customFormat="1" ht="12.75">
      <c r="A72" s="99"/>
      <c r="B72" s="99"/>
    </row>
    <row r="73" spans="1:2" s="96" customFormat="1" ht="12.75">
      <c r="A73" s="99"/>
      <c r="B73" s="99"/>
    </row>
    <row r="74" spans="1:2" s="96" customFormat="1" ht="12.75">
      <c r="A74" s="99"/>
      <c r="B74" s="99"/>
    </row>
    <row r="75" spans="1:2" s="96" customFormat="1" ht="12.75">
      <c r="A75" s="99"/>
      <c r="B75" s="99"/>
    </row>
    <row r="76" spans="1:2" s="96" customFormat="1" ht="12.75">
      <c r="A76" s="99"/>
      <c r="B76" s="99"/>
    </row>
    <row r="77" spans="1:2" s="96" customFormat="1" ht="12.75">
      <c r="A77" s="99"/>
      <c r="B77" s="99"/>
    </row>
    <row r="78" spans="1:2" s="96" customFormat="1" ht="12.75">
      <c r="A78" s="99"/>
      <c r="B78" s="99"/>
    </row>
    <row r="79" spans="1:2" s="96" customFormat="1" ht="12.75">
      <c r="A79" s="99"/>
      <c r="B79" s="99"/>
    </row>
    <row r="80" spans="1:2" s="96" customFormat="1" ht="12.75">
      <c r="A80" s="99"/>
      <c r="B80" s="99"/>
    </row>
    <row r="81" spans="1:2" s="96" customFormat="1" ht="12.75">
      <c r="A81" s="99"/>
      <c r="B81" s="99"/>
    </row>
    <row r="82" spans="1:2" s="96" customFormat="1" ht="12.75">
      <c r="A82" s="99"/>
      <c r="B82" s="99"/>
    </row>
    <row r="83" spans="1:2" s="96" customFormat="1" ht="12.75">
      <c r="A83" s="99"/>
      <c r="B83" s="99"/>
    </row>
    <row r="84" spans="1:2" s="96" customFormat="1" ht="12.75">
      <c r="A84" s="99"/>
      <c r="B84" s="99"/>
    </row>
    <row r="85" spans="1:2" s="96" customFormat="1" ht="12.75">
      <c r="A85" s="99"/>
      <c r="B85" s="99"/>
    </row>
    <row r="86" spans="1:2" s="96" customFormat="1" ht="12.75">
      <c r="A86" s="99"/>
      <c r="B86" s="99"/>
    </row>
    <row r="87" spans="1:2" s="96" customFormat="1" ht="12.75">
      <c r="A87" s="99"/>
      <c r="B87" s="99"/>
    </row>
    <row r="88" spans="1:2" s="96" customFormat="1" ht="12.75">
      <c r="A88" s="99"/>
      <c r="B88" s="99"/>
    </row>
    <row r="89" spans="1:2" s="96" customFormat="1" ht="12.75">
      <c r="A89" s="99"/>
      <c r="B89" s="99"/>
    </row>
    <row r="90" spans="1:2" s="96" customFormat="1" ht="12.75">
      <c r="A90" s="99"/>
      <c r="B90" s="99"/>
    </row>
    <row r="91" spans="1:2" s="96" customFormat="1" ht="12.75">
      <c r="A91" s="99"/>
      <c r="B91" s="99"/>
    </row>
    <row r="92" spans="1:2" s="96" customFormat="1" ht="12.75">
      <c r="A92" s="99"/>
      <c r="B92" s="99"/>
    </row>
    <row r="93" spans="1:2" s="96" customFormat="1" ht="12.75">
      <c r="A93" s="99"/>
      <c r="B93" s="99"/>
    </row>
    <row r="94" spans="1:2" s="96" customFormat="1" ht="12.75">
      <c r="A94" s="99"/>
      <c r="B94" s="99"/>
    </row>
    <row r="95" spans="1:2" s="96" customFormat="1" ht="12.75">
      <c r="A95" s="99"/>
      <c r="B95" s="99"/>
    </row>
    <row r="96" spans="1:2" s="96" customFormat="1" ht="12.75">
      <c r="A96" s="99"/>
      <c r="B96" s="99"/>
    </row>
    <row r="97" spans="1:2" s="96" customFormat="1" ht="12.75">
      <c r="A97" s="99"/>
      <c r="B97" s="99"/>
    </row>
    <row r="98" spans="1:2" s="96" customFormat="1" ht="12.75">
      <c r="A98" s="99"/>
      <c r="B98" s="99"/>
    </row>
    <row r="99" spans="1:2" s="96" customFormat="1" ht="12.75">
      <c r="A99" s="99"/>
      <c r="B99" s="99"/>
    </row>
    <row r="100" spans="1:2" s="96" customFormat="1" ht="12.75">
      <c r="A100" s="99"/>
      <c r="B100" s="99"/>
    </row>
    <row r="101" spans="1:2" s="96" customFormat="1" ht="12.75">
      <c r="A101" s="99"/>
      <c r="B101" s="99"/>
    </row>
    <row r="102" spans="1:2" s="96" customFormat="1" ht="12.75">
      <c r="A102" s="99"/>
      <c r="B102" s="99"/>
    </row>
    <row r="103" spans="1:2" s="96" customFormat="1" ht="12.75">
      <c r="A103" s="99"/>
      <c r="B103" s="99"/>
    </row>
    <row r="104" spans="1:2" s="96" customFormat="1" ht="12.75">
      <c r="A104" s="99"/>
      <c r="B104" s="99"/>
    </row>
    <row r="105" spans="1:2" s="96" customFormat="1" ht="12.75">
      <c r="A105" s="99"/>
      <c r="B105" s="99"/>
    </row>
    <row r="106" spans="1:2" s="96" customFormat="1" ht="12.75">
      <c r="A106" s="99"/>
      <c r="B106" s="99"/>
    </row>
    <row r="107" spans="1:2" s="96" customFormat="1" ht="12.75">
      <c r="A107" s="99"/>
      <c r="B107" s="99"/>
    </row>
    <row r="108" spans="1:2" s="96" customFormat="1" ht="12.75">
      <c r="A108" s="99"/>
      <c r="B108" s="99"/>
    </row>
    <row r="109" spans="1:2" s="96" customFormat="1" ht="12.75">
      <c r="A109" s="99"/>
      <c r="B109" s="99"/>
    </row>
    <row r="110" spans="1:2" s="96" customFormat="1" ht="12.75">
      <c r="A110" s="99"/>
      <c r="B110" s="99"/>
    </row>
    <row r="111" spans="1:2" s="96" customFormat="1" ht="12.75">
      <c r="A111" s="99"/>
      <c r="B111" s="99"/>
    </row>
    <row r="112" spans="1:2" s="96" customFormat="1" ht="12.75">
      <c r="A112" s="99"/>
      <c r="B112" s="99"/>
    </row>
    <row r="113" spans="1:2" s="96" customFormat="1" ht="12.75">
      <c r="A113" s="99"/>
      <c r="B113" s="99"/>
    </row>
    <row r="114" spans="1:2" s="96" customFormat="1" ht="12.75">
      <c r="A114" s="99"/>
      <c r="B114" s="99"/>
    </row>
    <row r="115" spans="1:2" s="96" customFormat="1" ht="12.75">
      <c r="A115" s="99"/>
      <c r="B115" s="99"/>
    </row>
    <row r="116" spans="1:2" s="96" customFormat="1" ht="12.75">
      <c r="A116" s="99"/>
      <c r="B116" s="99"/>
    </row>
    <row r="117" spans="1:2" s="96" customFormat="1" ht="12.75">
      <c r="A117" s="99"/>
      <c r="B117" s="99"/>
    </row>
    <row r="118" spans="1:2" s="96" customFormat="1" ht="12.75">
      <c r="A118" s="99"/>
      <c r="B118" s="99"/>
    </row>
    <row r="119" spans="1:2" s="96" customFormat="1" ht="12.75">
      <c r="A119" s="99"/>
      <c r="B119" s="99"/>
    </row>
    <row r="120" spans="1:2" s="96" customFormat="1" ht="12.75">
      <c r="A120" s="99"/>
      <c r="B120" s="99"/>
    </row>
    <row r="121" spans="1:2" s="96" customFormat="1" ht="12.75">
      <c r="A121" s="99"/>
      <c r="B121" s="99"/>
    </row>
    <row r="122" spans="1:2" s="96" customFormat="1" ht="12.75">
      <c r="A122" s="99"/>
      <c r="B122" s="99"/>
    </row>
    <row r="123" spans="1:2" s="96" customFormat="1" ht="12.75">
      <c r="A123" s="99"/>
      <c r="B123" s="99"/>
    </row>
    <row r="124" spans="1:2" s="96" customFormat="1" ht="12.75">
      <c r="A124" s="99"/>
      <c r="B124" s="99"/>
    </row>
    <row r="125" spans="1:2" s="96" customFormat="1" ht="12.75">
      <c r="A125" s="99"/>
      <c r="B125" s="99"/>
    </row>
    <row r="126" spans="1:2" s="96" customFormat="1" ht="12.75">
      <c r="A126" s="99"/>
      <c r="B126" s="99"/>
    </row>
    <row r="127" spans="1:2" s="96" customFormat="1" ht="12.75">
      <c r="A127" s="99"/>
      <c r="B127" s="99"/>
    </row>
    <row r="128" spans="1:2" s="96" customFormat="1" ht="12.75">
      <c r="A128" s="99"/>
      <c r="B128" s="99"/>
    </row>
    <row r="129" spans="1:2" s="96" customFormat="1" ht="12.75">
      <c r="A129" s="99"/>
      <c r="B129" s="99"/>
    </row>
    <row r="130" spans="1:2" s="96" customFormat="1" ht="12.75">
      <c r="A130" s="99"/>
      <c r="B130" s="99"/>
    </row>
    <row r="131" spans="1:2" s="96" customFormat="1" ht="12.75">
      <c r="A131" s="99"/>
      <c r="B131" s="99"/>
    </row>
    <row r="132" spans="1:2" s="96" customFormat="1" ht="12.75">
      <c r="A132" s="99"/>
      <c r="B132" s="99"/>
    </row>
    <row r="133" spans="1:2" s="96" customFormat="1" ht="12.75">
      <c r="A133" s="99"/>
      <c r="B133" s="99"/>
    </row>
    <row r="134" spans="1:2" s="96" customFormat="1" ht="12.75">
      <c r="A134" s="99"/>
      <c r="B134" s="99"/>
    </row>
    <row r="135" spans="1:2" s="96" customFormat="1" ht="12.75">
      <c r="A135" s="99"/>
      <c r="B135" s="99"/>
    </row>
  </sheetData>
  <mergeCells count="2">
    <mergeCell ref="F1:M1"/>
    <mergeCell ref="I2:J2"/>
  </mergeCells>
  <printOptions gridLines="1" horizontalCentered="1" verticalCentered="1"/>
  <pageMargins left="0.2362204724409449" right="0.2362204724409449" top="1.4173228346456694" bottom="0.5905511811023623" header="0.4330708661417323" footer="0.31496062992125984"/>
  <pageSetup horizontalDpi="300" verticalDpi="300" orientation="landscape" paperSize="9" scale="90" r:id="rId1"/>
  <headerFooter alignWithMargins="0">
    <oddHeader>&amp;C&amp;"Arial CE,Normál"ZALAEGESZEG MJV ÖNKORMÁNYZATA ÁLTAL IRÁNYÍTOTT KÖLTSÉGVETÉSI SZERVEK
2012. ÉVI  MÓDOSÍTOTT KIADÁSI ELŐIRÁNYZATAI AZ II. NEGYEDÉVI ELŐIRÁNYZAT-MÓDOSÍTÁS UTÁN&amp;R&amp;"Arial CE,Normál"9. számú melléklet
Adatok: eFt-ban</oddHeader>
    <oddFooter>&amp;C 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ZMJV 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Közgazdasági Osztály</dc:creator>
  <cp:keywords/>
  <dc:description/>
  <cp:lastModifiedBy>galos</cp:lastModifiedBy>
  <cp:lastPrinted>2012-06-26T07:41:12Z</cp:lastPrinted>
  <dcterms:created xsi:type="dcterms:W3CDTF">2002-12-30T13:12:46Z</dcterms:created>
  <dcterms:modified xsi:type="dcterms:W3CDTF">2012-06-26T09:06:36Z</dcterms:modified>
  <cp:category/>
  <cp:version/>
  <cp:contentType/>
  <cp:contentStatus/>
</cp:coreProperties>
</file>